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3.xml" ContentType="application/vnd.openxmlformats-officedocument.drawing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lub\02_Technisches Gebäudemanagement\Klimaschutzmanagement\Energie-und Treibhausgasbilanzen\"/>
    </mc:Choice>
  </mc:AlternateContent>
  <xr:revisionPtr revIDLastSave="0" documentId="13_ncr:1_{D70D44CC-63A4-4BA3-95E8-EF227F91D777}" xr6:coauthVersionLast="36" xr6:coauthVersionMax="36" xr10:uidLastSave="{00000000-0000-0000-0000-000000000000}"/>
  <bookViews>
    <workbookView xWindow="0" yWindow="0" windowWidth="51600" windowHeight="18720" activeTab="3" xr2:uid="{21653AB6-6B88-4D46-B8A3-A67906989C40}"/>
  </bookViews>
  <sheets>
    <sheet name="Jahreswerte - Emden" sheetId="1" r:id="rId1"/>
    <sheet name="Jahreswerte - Leer" sheetId="2" r:id="rId2"/>
    <sheet name="Mobilität" sheetId="3" r:id="rId3"/>
    <sheet name="Gesamtemissionen" sheetId="4" r:id="rId4"/>
    <sheet name="Ziel Klimaneutral 2035" sheetId="10" r:id="rId5"/>
    <sheet name="THG-Bilanz 2024 - vorläufig" sheetId="8" r:id="rId6"/>
    <sheet name="THG-Bilanz 2023" sheetId="7" r:id="rId7"/>
    <sheet name="THG-Bilanz 2022" sheetId="6" r:id="rId8"/>
    <sheet name="THG- Bilanz 2021" sheetId="5" r:id="rId9"/>
    <sheet name="THG-Bilanz 2020" sheetId="9" r:id="rId10"/>
  </sheets>
  <externalReferences>
    <externalReference r:id="rId11"/>
    <externalReference r:id="rId12"/>
  </externalReferences>
  <definedNames>
    <definedName name="_xlnm._FilterDatabase" localSheetId="2" hidden="1">Mobilität!$B$74:$Y$111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" i="10" l="1"/>
  <c r="C48" i="10"/>
  <c r="B66" i="10"/>
  <c r="C66" i="10" s="1"/>
  <c r="A66" i="10"/>
  <c r="A65" i="10" s="1"/>
  <c r="B56" i="10"/>
  <c r="B57" i="10"/>
  <c r="B58" i="10"/>
  <c r="B59" i="10"/>
  <c r="B55" i="10"/>
  <c r="E47" i="10"/>
  <c r="F47" i="10" s="1"/>
  <c r="D46" i="10"/>
  <c r="E45" i="10"/>
  <c r="F45" i="10" s="1"/>
  <c r="D41" i="10"/>
  <c r="B65" i="10" s="1"/>
  <c r="C65" i="10" s="1"/>
  <c r="E44" i="10"/>
  <c r="F44" i="10" s="1"/>
  <c r="D44" i="10"/>
  <c r="B68" i="10" s="1"/>
  <c r="C68" i="10" s="1"/>
  <c r="E43" i="10"/>
  <c r="F43" i="10" s="1"/>
  <c r="D42" i="10"/>
  <c r="A42" i="10"/>
  <c r="A41" i="10" s="1"/>
  <c r="H33" i="10"/>
  <c r="C32" i="10"/>
  <c r="C56" i="10" s="1"/>
  <c r="F25" i="10"/>
  <c r="F14" i="10"/>
  <c r="F15" i="10" s="1"/>
  <c r="B13" i="10"/>
  <c r="B14" i="10" s="1"/>
  <c r="F12" i="10"/>
  <c r="B12" i="10"/>
  <c r="D12" i="10" s="1"/>
  <c r="F11" i="10"/>
  <c r="B11" i="10"/>
  <c r="D11" i="10" s="1"/>
  <c r="F10" i="10"/>
  <c r="B10" i="10"/>
  <c r="D10" i="10" s="1"/>
  <c r="F9" i="10"/>
  <c r="B9" i="10"/>
  <c r="D9" i="10" s="1"/>
  <c r="D8" i="10"/>
  <c r="D7" i="10"/>
  <c r="D68" i="10" l="1"/>
  <c r="B70" i="10"/>
  <c r="C70" i="10" s="1"/>
  <c r="D66" i="10"/>
  <c r="D65" i="10"/>
  <c r="D70" i="10"/>
  <c r="E49" i="10"/>
  <c r="E57" i="10"/>
  <c r="E54" i="10"/>
  <c r="E53" i="10"/>
  <c r="E11" i="10"/>
  <c r="H11" i="10" s="1"/>
  <c r="E52" i="10"/>
  <c r="E50" i="10"/>
  <c r="E56" i="10"/>
  <c r="F56" i="10" s="1"/>
  <c r="E12" i="10"/>
  <c r="H12" i="10" s="1"/>
  <c r="E10" i="10"/>
  <c r="H10" i="10" s="1"/>
  <c r="E13" i="10"/>
  <c r="E14" i="10" s="1"/>
  <c r="E15" i="10" s="1"/>
  <c r="E9" i="10"/>
  <c r="H9" i="10" s="1"/>
  <c r="E48" i="10"/>
  <c r="B48" i="10" s="1"/>
  <c r="B52" i="10" s="1"/>
  <c r="E51" i="10"/>
  <c r="C54" i="10"/>
  <c r="F54" i="10" s="1"/>
  <c r="C53" i="10"/>
  <c r="C52" i="10"/>
  <c r="C51" i="10"/>
  <c r="B53" i="10"/>
  <c r="C50" i="10"/>
  <c r="C49" i="10"/>
  <c r="E55" i="10"/>
  <c r="F55" i="10" s="1"/>
  <c r="C55" i="10"/>
  <c r="D55" i="10" s="1"/>
  <c r="E59" i="10"/>
  <c r="C59" i="10"/>
  <c r="D59" i="10" s="1"/>
  <c r="E58" i="10"/>
  <c r="C58" i="10"/>
  <c r="D58" i="10" s="1"/>
  <c r="C57" i="10"/>
  <c r="F57" i="10" s="1"/>
  <c r="F48" i="10"/>
  <c r="D45" i="10"/>
  <c r="D47" i="10"/>
  <c r="D14" i="10"/>
  <c r="B15" i="10"/>
  <c r="F16" i="10"/>
  <c r="D13" i="10"/>
  <c r="D56" i="10"/>
  <c r="D43" i="10"/>
  <c r="B67" i="10" s="1"/>
  <c r="C67" i="10" s="1"/>
  <c r="G9" i="10"/>
  <c r="G11" i="10"/>
  <c r="H13" i="10"/>
  <c r="E46" i="10"/>
  <c r="F46" i="10" s="1"/>
  <c r="N55" i="3"/>
  <c r="C6" i="8" s="1"/>
  <c r="C50" i="3"/>
  <c r="C49" i="3"/>
  <c r="E55" i="3"/>
  <c r="D55" i="3"/>
  <c r="B50" i="3"/>
  <c r="B49" i="3"/>
  <c r="F20" i="8"/>
  <c r="F20" i="7"/>
  <c r="F4" i="4"/>
  <c r="E13" i="4"/>
  <c r="E2" i="4"/>
  <c r="C20" i="8"/>
  <c r="J18" i="8"/>
  <c r="C12" i="8"/>
  <c r="C3" i="8"/>
  <c r="J31" i="8"/>
  <c r="J30" i="8"/>
  <c r="J29" i="8"/>
  <c r="J28" i="8"/>
  <c r="J27" i="8"/>
  <c r="J26" i="8"/>
  <c r="J25" i="8"/>
  <c r="J24" i="8"/>
  <c r="J23" i="8"/>
  <c r="J22" i="8"/>
  <c r="J21" i="8"/>
  <c r="J20" i="8"/>
  <c r="F19" i="8"/>
  <c r="F17" i="8"/>
  <c r="J17" i="8" s="1"/>
  <c r="F16" i="8"/>
  <c r="J16" i="8"/>
  <c r="J15" i="8"/>
  <c r="J14" i="8"/>
  <c r="J13" i="8"/>
  <c r="J12" i="8"/>
  <c r="F8" i="8"/>
  <c r="C8" i="8"/>
  <c r="J8" i="8" s="1"/>
  <c r="F3" i="8"/>
  <c r="J3" i="8"/>
  <c r="J27" i="7"/>
  <c r="J26" i="7"/>
  <c r="J25" i="7"/>
  <c r="J24" i="7"/>
  <c r="J23" i="7"/>
  <c r="J22" i="7"/>
  <c r="C22" i="7"/>
  <c r="J21" i="7"/>
  <c r="C20" i="7"/>
  <c r="F19" i="7"/>
  <c r="J18" i="7"/>
  <c r="F17" i="7"/>
  <c r="J17" i="7" s="1"/>
  <c r="F16" i="7"/>
  <c r="C16" i="7"/>
  <c r="J16" i="7" s="1"/>
  <c r="J15" i="7"/>
  <c r="J14" i="7"/>
  <c r="J13" i="7"/>
  <c r="C12" i="7"/>
  <c r="J12" i="7" s="1"/>
  <c r="F8" i="7"/>
  <c r="C6" i="7"/>
  <c r="J6" i="7" s="1"/>
  <c r="F3" i="7"/>
  <c r="C3" i="7"/>
  <c r="J3" i="7" s="1"/>
  <c r="J23" i="6"/>
  <c r="J22" i="6"/>
  <c r="J21" i="6"/>
  <c r="J20" i="6"/>
  <c r="J19" i="6"/>
  <c r="C18" i="6"/>
  <c r="J18" i="6" s="1"/>
  <c r="F17" i="6"/>
  <c r="C17" i="6"/>
  <c r="F16" i="6"/>
  <c r="C16" i="6"/>
  <c r="J16" i="6" s="1"/>
  <c r="J15" i="6"/>
  <c r="J14" i="6"/>
  <c r="J13" i="6"/>
  <c r="C12" i="6"/>
  <c r="J12" i="6" s="1"/>
  <c r="J11" i="6"/>
  <c r="J10" i="6"/>
  <c r="F9" i="6"/>
  <c r="C9" i="6"/>
  <c r="J9" i="6" s="1"/>
  <c r="F8" i="6"/>
  <c r="C8" i="6"/>
  <c r="J8" i="6" s="1"/>
  <c r="C7" i="6"/>
  <c r="J7" i="6" s="1"/>
  <c r="C6" i="6"/>
  <c r="J6" i="6" s="1"/>
  <c r="F3" i="6"/>
  <c r="C3" i="6"/>
  <c r="J3" i="6" s="1"/>
  <c r="J23" i="5"/>
  <c r="J22" i="5"/>
  <c r="J21" i="5"/>
  <c r="J20" i="5"/>
  <c r="J19" i="5"/>
  <c r="J18" i="5"/>
  <c r="C18" i="5"/>
  <c r="F17" i="5"/>
  <c r="C17" i="5"/>
  <c r="F16" i="5"/>
  <c r="C16" i="5"/>
  <c r="J16" i="5" s="1"/>
  <c r="J15" i="5"/>
  <c r="J14" i="5"/>
  <c r="J13" i="5"/>
  <c r="C12" i="5"/>
  <c r="J12" i="5" s="1"/>
  <c r="J11" i="5"/>
  <c r="J10" i="5"/>
  <c r="F9" i="5"/>
  <c r="F8" i="5"/>
  <c r="C8" i="5"/>
  <c r="J8" i="5" s="1"/>
  <c r="C7" i="5"/>
  <c r="J7" i="5" s="1"/>
  <c r="C6" i="5"/>
  <c r="J6" i="5" s="1"/>
  <c r="J5" i="5"/>
  <c r="J4" i="5"/>
  <c r="F3" i="5"/>
  <c r="J3" i="5" s="1"/>
  <c r="C3" i="5"/>
  <c r="J23" i="9"/>
  <c r="J22" i="9"/>
  <c r="J21" i="9"/>
  <c r="J20" i="9"/>
  <c r="J19" i="9"/>
  <c r="J18" i="9"/>
  <c r="C18" i="9"/>
  <c r="F17" i="9"/>
  <c r="C17" i="9"/>
  <c r="J17" i="9" s="1"/>
  <c r="F16" i="9"/>
  <c r="C16" i="9"/>
  <c r="J16" i="9" s="1"/>
  <c r="J15" i="9"/>
  <c r="C13" i="9"/>
  <c r="J13" i="9" s="1"/>
  <c r="C12" i="9"/>
  <c r="J12" i="9" s="1"/>
  <c r="J11" i="9"/>
  <c r="J10" i="9"/>
  <c r="F9" i="9"/>
  <c r="F8" i="9"/>
  <c r="C8" i="9"/>
  <c r="J8" i="9" s="1"/>
  <c r="C7" i="9"/>
  <c r="J7" i="9" s="1"/>
  <c r="C6" i="9"/>
  <c r="J6" i="9" s="1"/>
  <c r="J5" i="9"/>
  <c r="J4" i="9"/>
  <c r="F3" i="9"/>
  <c r="C3" i="9"/>
  <c r="J3" i="9" s="1"/>
  <c r="F8" i="2"/>
  <c r="G8" i="2"/>
  <c r="C8" i="2"/>
  <c r="B8" i="2"/>
  <c r="P7" i="1"/>
  <c r="N7" i="1"/>
  <c r="M7" i="1"/>
  <c r="L7" i="1"/>
  <c r="K7" i="1"/>
  <c r="J7" i="1"/>
  <c r="I7" i="1"/>
  <c r="H7" i="1"/>
  <c r="G7" i="1"/>
  <c r="F7" i="1"/>
  <c r="D52" i="10" l="1"/>
  <c r="B50" i="10"/>
  <c r="B69" i="10"/>
  <c r="C69" i="10" s="1"/>
  <c r="D69" i="10"/>
  <c r="G10" i="10"/>
  <c r="B71" i="10"/>
  <c r="C71" i="10" s="1"/>
  <c r="D71" i="10"/>
  <c r="D48" i="10"/>
  <c r="D72" i="10"/>
  <c r="B72" i="10"/>
  <c r="F51" i="10"/>
  <c r="F53" i="10"/>
  <c r="G14" i="10"/>
  <c r="C72" i="10" s="1"/>
  <c r="G13" i="10"/>
  <c r="H14" i="10"/>
  <c r="G12" i="10"/>
  <c r="F52" i="10"/>
  <c r="B54" i="10"/>
  <c r="D54" i="10" s="1"/>
  <c r="F59" i="10"/>
  <c r="D53" i="10"/>
  <c r="B51" i="10"/>
  <c r="D51" i="10" s="1"/>
  <c r="D50" i="10"/>
  <c r="F50" i="10"/>
  <c r="D57" i="10"/>
  <c r="B49" i="10"/>
  <c r="D49" i="10" s="1"/>
  <c r="F58" i="10"/>
  <c r="F49" i="10"/>
  <c r="F17" i="10"/>
  <c r="E16" i="10"/>
  <c r="H15" i="10"/>
  <c r="G15" i="10"/>
  <c r="C73" i="10" s="1"/>
  <c r="B16" i="10"/>
  <c r="D15" i="10"/>
  <c r="C7" i="8"/>
  <c r="J7" i="8" s="1"/>
  <c r="C9" i="8"/>
  <c r="J9" i="8" s="1"/>
  <c r="J6" i="8"/>
  <c r="J20" i="7"/>
  <c r="E4" i="4"/>
  <c r="C19" i="8"/>
  <c r="J19" i="8" s="1"/>
  <c r="F5" i="4" s="1"/>
  <c r="C19" i="7"/>
  <c r="J19" i="7" s="1"/>
  <c r="J17" i="6"/>
  <c r="C8" i="7"/>
  <c r="J8" i="7" s="1"/>
  <c r="C7" i="7"/>
  <c r="J7" i="7" s="1"/>
  <c r="C9" i="7"/>
  <c r="J9" i="7" s="1"/>
  <c r="J17" i="5"/>
  <c r="C9" i="5"/>
  <c r="J9" i="5" s="1"/>
  <c r="C9" i="9"/>
  <c r="J9" i="9" s="1"/>
  <c r="C47" i="3"/>
  <c r="B73" i="10" l="1"/>
  <c r="D16" i="10"/>
  <c r="B74" i="10" s="1"/>
  <c r="B17" i="10"/>
  <c r="E17" i="10"/>
  <c r="H16" i="10"/>
  <c r="G16" i="10"/>
  <c r="C74" i="10" s="1"/>
  <c r="F18" i="10"/>
  <c r="F13" i="4"/>
  <c r="F2" i="4"/>
  <c r="E5" i="4"/>
  <c r="AB88" i="4"/>
  <c r="F19" i="10" l="1"/>
  <c r="E18" i="10"/>
  <c r="G17" i="10"/>
  <c r="C75" i="10" s="1"/>
  <c r="H17" i="10"/>
  <c r="B18" i="10"/>
  <c r="D17" i="10"/>
  <c r="B75" i="10" s="1"/>
  <c r="F44" i="4"/>
  <c r="F40" i="4"/>
  <c r="F43" i="4"/>
  <c r="F42" i="4"/>
  <c r="F46" i="4"/>
  <c r="F41" i="4"/>
  <c r="C28" i="3"/>
  <c r="C44" i="3" s="1"/>
  <c r="E19" i="10" l="1"/>
  <c r="H18" i="10"/>
  <c r="G18" i="10"/>
  <c r="C76" i="10" s="1"/>
  <c r="D18" i="10"/>
  <c r="B76" i="10" s="1"/>
  <c r="B19" i="10"/>
  <c r="F20" i="10"/>
  <c r="F21" i="10" s="1"/>
  <c r="Q75" i="3"/>
  <c r="B20" i="10" l="1"/>
  <c r="D19" i="10"/>
  <c r="B77" i="10" s="1"/>
  <c r="F22" i="10"/>
  <c r="E20" i="10"/>
  <c r="H19" i="10"/>
  <c r="G19" i="10"/>
  <c r="C77" i="10" s="1"/>
  <c r="C26" i="3"/>
  <c r="C36" i="3" s="1"/>
  <c r="C4" i="8" s="1"/>
  <c r="C43" i="3"/>
  <c r="C42" i="3" s="1"/>
  <c r="D20" i="10" l="1"/>
  <c r="B78" i="10" s="1"/>
  <c r="B21" i="10"/>
  <c r="E21" i="10"/>
  <c r="H20" i="10"/>
  <c r="G20" i="10"/>
  <c r="C78" i="10" s="1"/>
  <c r="F23" i="10"/>
  <c r="F24" i="10" s="1"/>
  <c r="C10" i="8"/>
  <c r="J10" i="8" s="1"/>
  <c r="J4" i="8"/>
  <c r="C41" i="3"/>
  <c r="C40" i="3"/>
  <c r="E22" i="10" l="1"/>
  <c r="G21" i="10"/>
  <c r="C79" i="10" s="1"/>
  <c r="H21" i="10"/>
  <c r="B22" i="10"/>
  <c r="D21" i="10"/>
  <c r="B79" i="10" s="1"/>
  <c r="D74" i="4"/>
  <c r="D22" i="10" l="1"/>
  <c r="B80" i="10" s="1"/>
  <c r="B23" i="10"/>
  <c r="E23" i="10"/>
  <c r="H22" i="10"/>
  <c r="G22" i="10"/>
  <c r="C80" i="10" s="1"/>
  <c r="B108" i="3"/>
  <c r="B100" i="3"/>
  <c r="B101" i="3"/>
  <c r="B77" i="3"/>
  <c r="B88" i="3"/>
  <c r="B106" i="3"/>
  <c r="B79" i="3"/>
  <c r="B75" i="3"/>
  <c r="B76" i="3"/>
  <c r="B81" i="3"/>
  <c r="Q104" i="3"/>
  <c r="R104" i="3"/>
  <c r="N79" i="3"/>
  <c r="Q102" i="3"/>
  <c r="R102" i="3"/>
  <c r="N80" i="3"/>
  <c r="N88" i="3"/>
  <c r="N78" i="3"/>
  <c r="N89" i="3"/>
  <c r="N84" i="3"/>
  <c r="N103" i="3"/>
  <c r="N93" i="3"/>
  <c r="N81" i="3"/>
  <c r="N77" i="3"/>
  <c r="N75" i="3"/>
  <c r="E24" i="10" l="1"/>
  <c r="H23" i="10"/>
  <c r="G23" i="10"/>
  <c r="C81" i="10" s="1"/>
  <c r="B24" i="10"/>
  <c r="D23" i="10"/>
  <c r="B81" i="10" s="1"/>
  <c r="K95" i="3"/>
  <c r="E25" i="10" l="1"/>
  <c r="H24" i="10"/>
  <c r="G24" i="10"/>
  <c r="C82" i="10" s="1"/>
  <c r="D24" i="10"/>
  <c r="B82" i="10" s="1"/>
  <c r="B25" i="10"/>
  <c r="D25" i="10" s="1"/>
  <c r="B83" i="10" s="1"/>
  <c r="D13" i="3"/>
  <c r="D14" i="3"/>
  <c r="D15" i="3"/>
  <c r="D16" i="3"/>
  <c r="D17" i="3"/>
  <c r="D18" i="3"/>
  <c r="G25" i="10" l="1"/>
  <c r="C83" i="10" s="1"/>
  <c r="H25" i="10"/>
  <c r="D19" i="3"/>
  <c r="J4" i="6" s="1"/>
  <c r="AC70" i="4" s="1"/>
  <c r="AK70" i="4" s="1"/>
  <c r="K3" i="1"/>
  <c r="L110" i="3"/>
  <c r="K110" i="3"/>
  <c r="L107" i="3"/>
  <c r="K107" i="3"/>
  <c r="L105" i="3"/>
  <c r="K105" i="3"/>
  <c r="L84" i="3"/>
  <c r="K84" i="3"/>
  <c r="L104" i="3"/>
  <c r="K104" i="3"/>
  <c r="L103" i="3"/>
  <c r="K103" i="3"/>
  <c r="L108" i="3"/>
  <c r="K108" i="3"/>
  <c r="L102" i="3"/>
  <c r="K102" i="3"/>
  <c r="L111" i="3"/>
  <c r="K111" i="3"/>
  <c r="L100" i="3"/>
  <c r="K100" i="3"/>
  <c r="L99" i="3"/>
  <c r="K99" i="3"/>
  <c r="L98" i="3"/>
  <c r="K98" i="3"/>
  <c r="L97" i="3"/>
  <c r="K97" i="3"/>
  <c r="L96" i="3"/>
  <c r="K96" i="3"/>
  <c r="L95" i="3"/>
  <c r="L94" i="3"/>
  <c r="K94" i="3"/>
  <c r="L92" i="3"/>
  <c r="K92" i="3"/>
  <c r="K91" i="3"/>
  <c r="L91" i="3"/>
  <c r="L90" i="3"/>
  <c r="K90" i="3"/>
  <c r="L87" i="3"/>
  <c r="K87" i="3"/>
  <c r="L86" i="3"/>
  <c r="K86" i="3"/>
  <c r="L106" i="3"/>
  <c r="K106" i="3"/>
  <c r="K93" i="3"/>
  <c r="H113" i="3"/>
  <c r="L89" i="3"/>
  <c r="K89" i="3"/>
  <c r="L85" i="3"/>
  <c r="K85" i="3"/>
  <c r="L83" i="3"/>
  <c r="K83" i="3"/>
  <c r="L82" i="3"/>
  <c r="K82" i="3"/>
  <c r="L101" i="3"/>
  <c r="K101" i="3"/>
  <c r="L80" i="3"/>
  <c r="K80" i="3"/>
  <c r="L109" i="3"/>
  <c r="K109" i="3"/>
  <c r="L78" i="3"/>
  <c r="K78" i="3"/>
  <c r="L76" i="3"/>
  <c r="K76" i="3"/>
  <c r="L77" i="3"/>
  <c r="K77" i="3"/>
  <c r="L79" i="3"/>
  <c r="K79" i="3"/>
  <c r="L88" i="3"/>
  <c r="K88" i="3"/>
  <c r="L81" i="3"/>
  <c r="K81" i="3"/>
  <c r="L75" i="3"/>
  <c r="K75" i="3"/>
  <c r="U113" i="3"/>
  <c r="R4" i="2"/>
  <c r="R5" i="2"/>
  <c r="R6" i="2"/>
  <c r="R7" i="2"/>
  <c r="Q6" i="2"/>
  <c r="Q7" i="2"/>
  <c r="Q4" i="2"/>
  <c r="Q5" i="2"/>
  <c r="L5" i="2"/>
  <c r="L6" i="2"/>
  <c r="L7" i="2"/>
  <c r="K5" i="2"/>
  <c r="K6" i="2"/>
  <c r="K7" i="2"/>
  <c r="N6" i="1"/>
  <c r="F6" i="1"/>
  <c r="K6" i="1" s="1"/>
  <c r="M5" i="1"/>
  <c r="H5" i="1"/>
  <c r="G5" i="1"/>
  <c r="M4" i="1"/>
  <c r="K4" i="1"/>
  <c r="D7" i="2"/>
  <c r="M6" i="2"/>
  <c r="L4" i="2"/>
  <c r="K4" i="2"/>
  <c r="Y110" i="3"/>
  <c r="X110" i="3"/>
  <c r="F88" i="3"/>
  <c r="E88" i="3"/>
  <c r="Y106" i="3"/>
  <c r="X107" i="3"/>
  <c r="F108" i="3"/>
  <c r="E108" i="3"/>
  <c r="Y104" i="3"/>
  <c r="X105" i="3"/>
  <c r="F94" i="3"/>
  <c r="E94" i="3"/>
  <c r="Y103" i="3"/>
  <c r="X84" i="3"/>
  <c r="F76" i="3"/>
  <c r="E76" i="3"/>
  <c r="Y102" i="3"/>
  <c r="X104" i="3"/>
  <c r="F102" i="3"/>
  <c r="E102" i="3"/>
  <c r="Y101" i="3"/>
  <c r="X103" i="3"/>
  <c r="F93" i="3"/>
  <c r="B93" i="3"/>
  <c r="E93" i="3" s="1"/>
  <c r="Y108" i="3"/>
  <c r="X108" i="3"/>
  <c r="F83" i="3"/>
  <c r="B83" i="3"/>
  <c r="E83" i="3" s="1"/>
  <c r="Y100" i="3"/>
  <c r="X102" i="3"/>
  <c r="F77" i="3"/>
  <c r="E77" i="3"/>
  <c r="Y111" i="3"/>
  <c r="X111" i="3"/>
  <c r="R105" i="3"/>
  <c r="Q105" i="3"/>
  <c r="F92" i="3"/>
  <c r="E92" i="3"/>
  <c r="Y107" i="3"/>
  <c r="X100" i="3"/>
  <c r="R100" i="3"/>
  <c r="Q100" i="3"/>
  <c r="F91" i="3"/>
  <c r="E91" i="3"/>
  <c r="Y99" i="3"/>
  <c r="X99" i="3"/>
  <c r="R99" i="3"/>
  <c r="Q99" i="3"/>
  <c r="F85" i="3"/>
  <c r="E85" i="3"/>
  <c r="Y98" i="3"/>
  <c r="X98" i="3"/>
  <c r="R98" i="3"/>
  <c r="Q98" i="3"/>
  <c r="F90" i="3"/>
  <c r="B90" i="3"/>
  <c r="E90" i="3" s="1"/>
  <c r="Y97" i="3"/>
  <c r="X97" i="3"/>
  <c r="R97" i="3"/>
  <c r="Q97" i="3"/>
  <c r="F79" i="3"/>
  <c r="E79" i="3"/>
  <c r="Y96" i="3"/>
  <c r="X96" i="3"/>
  <c r="R96" i="3"/>
  <c r="Q96" i="3"/>
  <c r="F89" i="3"/>
  <c r="B89" i="3"/>
  <c r="E89" i="3" s="1"/>
  <c r="Y95" i="3"/>
  <c r="X95" i="3"/>
  <c r="Q95" i="3"/>
  <c r="R95" i="3"/>
  <c r="F111" i="3"/>
  <c r="E111" i="3"/>
  <c r="Y94" i="3"/>
  <c r="X94" i="3"/>
  <c r="Q94" i="3"/>
  <c r="R94" i="3"/>
  <c r="F110" i="3"/>
  <c r="E110" i="3"/>
  <c r="Y92" i="3"/>
  <c r="X92" i="3"/>
  <c r="R92" i="3"/>
  <c r="Q92" i="3"/>
  <c r="E75" i="3"/>
  <c r="F75" i="3"/>
  <c r="Y91" i="3"/>
  <c r="X91" i="3"/>
  <c r="R91" i="3"/>
  <c r="Q91" i="3"/>
  <c r="E100" i="3"/>
  <c r="F100" i="3"/>
  <c r="Y90" i="3"/>
  <c r="X90" i="3"/>
  <c r="R90" i="3"/>
  <c r="N90" i="3"/>
  <c r="F81" i="3"/>
  <c r="E81" i="3"/>
  <c r="Y89" i="3"/>
  <c r="X87" i="3"/>
  <c r="R87" i="3"/>
  <c r="Q87" i="3"/>
  <c r="F87" i="3"/>
  <c r="E87" i="3"/>
  <c r="Y88" i="3"/>
  <c r="X86" i="3"/>
  <c r="R86" i="3"/>
  <c r="Q86" i="3"/>
  <c r="F107" i="3"/>
  <c r="E107" i="3"/>
  <c r="Y105" i="3"/>
  <c r="X106" i="3"/>
  <c r="Q103" i="3"/>
  <c r="R103" i="3"/>
  <c r="E106" i="3"/>
  <c r="F106" i="3"/>
  <c r="Y86" i="3"/>
  <c r="X93" i="3"/>
  <c r="Q93" i="3"/>
  <c r="R93" i="3"/>
  <c r="E101" i="3"/>
  <c r="F101" i="3"/>
  <c r="Y85" i="3"/>
  <c r="X89" i="3"/>
  <c r="R89" i="3"/>
  <c r="Q89" i="3"/>
  <c r="F105" i="3"/>
  <c r="E105" i="3"/>
  <c r="Y84" i="3"/>
  <c r="X85" i="3"/>
  <c r="Q85" i="3"/>
  <c r="R85" i="3"/>
  <c r="F80" i="3"/>
  <c r="E80" i="3"/>
  <c r="Y82" i="3"/>
  <c r="X83" i="3"/>
  <c r="R83" i="3"/>
  <c r="Q83" i="3"/>
  <c r="F99" i="3"/>
  <c r="E99" i="3"/>
  <c r="Y81" i="3"/>
  <c r="X82" i="3"/>
  <c r="R82" i="3"/>
  <c r="Q82" i="3"/>
  <c r="F109" i="3"/>
  <c r="E109" i="3"/>
  <c r="Y83" i="3"/>
  <c r="X101" i="3"/>
  <c r="R101" i="3"/>
  <c r="Q101" i="3"/>
  <c r="F84" i="3"/>
  <c r="E84" i="3"/>
  <c r="Y80" i="3"/>
  <c r="X80" i="3"/>
  <c r="R80" i="3"/>
  <c r="Q80" i="3"/>
  <c r="F98" i="3"/>
  <c r="E98" i="3"/>
  <c r="Y109" i="3"/>
  <c r="X109" i="3"/>
  <c r="Q84" i="3"/>
  <c r="R84" i="3"/>
  <c r="F97" i="3"/>
  <c r="E97" i="3"/>
  <c r="Y79" i="3"/>
  <c r="X78" i="3"/>
  <c r="Q78" i="3"/>
  <c r="R78" i="3"/>
  <c r="F96" i="3"/>
  <c r="E96" i="3"/>
  <c r="Y93" i="3"/>
  <c r="X76" i="3"/>
  <c r="R76" i="3"/>
  <c r="Q76" i="3"/>
  <c r="F82" i="3"/>
  <c r="E82" i="3"/>
  <c r="Y77" i="3"/>
  <c r="X77" i="3"/>
  <c r="R77" i="3"/>
  <c r="Q77" i="3"/>
  <c r="F78" i="3"/>
  <c r="E78" i="3"/>
  <c r="Y78" i="3"/>
  <c r="X79" i="3"/>
  <c r="R79" i="3"/>
  <c r="Q79" i="3"/>
  <c r="F95" i="3"/>
  <c r="E95" i="3"/>
  <c r="Y76" i="3"/>
  <c r="X88" i="3"/>
  <c r="R88" i="3"/>
  <c r="Q88" i="3"/>
  <c r="F104" i="3"/>
  <c r="E104" i="3"/>
  <c r="Y87" i="3"/>
  <c r="X81" i="3"/>
  <c r="R81" i="3"/>
  <c r="Q81" i="3"/>
  <c r="F103" i="3"/>
  <c r="E103" i="3"/>
  <c r="Y75" i="3"/>
  <c r="Y113" i="3" s="1"/>
  <c r="C29" i="7" s="1"/>
  <c r="J29" i="7" s="1"/>
  <c r="X75" i="3"/>
  <c r="R75" i="3"/>
  <c r="F86" i="3"/>
  <c r="E86" i="3"/>
  <c r="B47" i="3"/>
  <c r="B46" i="3"/>
  <c r="B45" i="3"/>
  <c r="B44" i="3"/>
  <c r="B43" i="3"/>
  <c r="B42" i="3"/>
  <c r="B41" i="3"/>
  <c r="B40" i="3"/>
  <c r="C39" i="3"/>
  <c r="C52" i="3" s="1"/>
  <c r="C5" i="8" s="1"/>
  <c r="B39" i="3"/>
  <c r="B34" i="3"/>
  <c r="B32" i="3"/>
  <c r="C19" i="3"/>
  <c r="C4" i="6" s="1"/>
  <c r="F2" i="3"/>
  <c r="E2" i="3"/>
  <c r="D2" i="3"/>
  <c r="C2" i="3"/>
  <c r="AA91" i="4"/>
  <c r="AD71" i="4"/>
  <c r="AC71" i="4"/>
  <c r="AC72" i="4"/>
  <c r="H2" i="3" l="1"/>
  <c r="M2" i="3"/>
  <c r="B48" i="3"/>
  <c r="B52" i="3" s="1"/>
  <c r="C5" i="7" s="1"/>
  <c r="B36" i="3"/>
  <c r="C4" i="7" s="1"/>
  <c r="N2" i="3"/>
  <c r="I2" i="3"/>
  <c r="P2" i="3"/>
  <c r="K2" i="3"/>
  <c r="Q90" i="3"/>
  <c r="Q113" i="3" s="1"/>
  <c r="N113" i="3"/>
  <c r="E8" i="3"/>
  <c r="E5" i="3" s="1"/>
  <c r="O2" i="3"/>
  <c r="J2" i="3"/>
  <c r="R113" i="3"/>
  <c r="C11" i="8"/>
  <c r="J11" i="8" s="1"/>
  <c r="F14" i="4" s="1"/>
  <c r="J5" i="8"/>
  <c r="AI72" i="4"/>
  <c r="AQ72" i="4" s="1"/>
  <c r="AI69" i="4"/>
  <c r="AQ69" i="4" s="1"/>
  <c r="AB71" i="4"/>
  <c r="AJ71" i="4" s="1"/>
  <c r="C12" i="4"/>
  <c r="AI71" i="4"/>
  <c r="AQ71" i="4" s="1"/>
  <c r="AF70" i="4"/>
  <c r="AN70" i="4" s="1"/>
  <c r="X113" i="3"/>
  <c r="C28" i="7" s="1"/>
  <c r="J28" i="7" s="1"/>
  <c r="B4" i="4"/>
  <c r="C4" i="4"/>
  <c r="K113" i="3"/>
  <c r="C24" i="5" s="1"/>
  <c r="J24" i="5" s="1"/>
  <c r="L93" i="3"/>
  <c r="L113" i="3" s="1"/>
  <c r="C25" i="5" s="1"/>
  <c r="J25" i="5" s="1"/>
  <c r="F113" i="3"/>
  <c r="C25" i="9" s="1"/>
  <c r="J25" i="9" s="1"/>
  <c r="M6" i="1"/>
  <c r="K5" i="1"/>
  <c r="M3" i="1"/>
  <c r="E113" i="3"/>
  <c r="C24" i="9" s="1"/>
  <c r="J24" i="9" s="1"/>
  <c r="C8" i="3"/>
  <c r="D8" i="3"/>
  <c r="F8" i="3"/>
  <c r="B113" i="3"/>
  <c r="AB70" i="4"/>
  <c r="AJ70" i="4" s="1"/>
  <c r="AF72" i="4"/>
  <c r="AN72" i="4" s="1"/>
  <c r="D4" i="4"/>
  <c r="O5" i="3" l="1"/>
  <c r="J5" i="3"/>
  <c r="S113" i="3"/>
  <c r="C24" i="6"/>
  <c r="J24" i="6" s="1"/>
  <c r="Q114" i="3"/>
  <c r="F12" i="4"/>
  <c r="F3" i="4"/>
  <c r="F7" i="4" s="1"/>
  <c r="F48" i="4"/>
  <c r="F52" i="4"/>
  <c r="F51" i="4"/>
  <c r="F49" i="4"/>
  <c r="F54" i="4"/>
  <c r="F50" i="4"/>
  <c r="C10" i="7"/>
  <c r="J10" i="7" s="1"/>
  <c r="J4" i="7"/>
  <c r="E4" i="3"/>
  <c r="C25" i="6"/>
  <c r="J25" i="6" s="1"/>
  <c r="R114" i="3"/>
  <c r="J5" i="7"/>
  <c r="C11" i="7"/>
  <c r="J11" i="7" s="1"/>
  <c r="AA88" i="4" s="1"/>
  <c r="E3" i="3"/>
  <c r="E6" i="3"/>
  <c r="E7" i="3"/>
  <c r="AH72" i="4"/>
  <c r="AP72" i="4" s="1"/>
  <c r="AH70" i="4"/>
  <c r="AP70" i="4" s="1"/>
  <c r="AH71" i="4"/>
  <c r="AP71" i="4" s="1"/>
  <c r="B13" i="4"/>
  <c r="B46" i="4" s="1"/>
  <c r="AE72" i="4"/>
  <c r="AM72" i="4" s="1"/>
  <c r="AH69" i="4"/>
  <c r="AP69" i="4" s="1"/>
  <c r="B12" i="4"/>
  <c r="B16" i="4" s="1"/>
  <c r="AB72" i="4"/>
  <c r="AJ72" i="4" s="1"/>
  <c r="D13" i="4"/>
  <c r="D46" i="4" s="1"/>
  <c r="AE70" i="4"/>
  <c r="AM70" i="4" s="1"/>
  <c r="AI70" i="4"/>
  <c r="AQ70" i="4" s="1"/>
  <c r="AF71" i="4"/>
  <c r="AN71" i="4" s="1"/>
  <c r="C13" i="4"/>
  <c r="C40" i="4" s="1"/>
  <c r="AE71" i="4"/>
  <c r="AM71" i="4" s="1"/>
  <c r="C36" i="4"/>
  <c r="C35" i="4"/>
  <c r="D5" i="4"/>
  <c r="C5" i="4"/>
  <c r="B2" i="4"/>
  <c r="B5" i="4"/>
  <c r="D6" i="3"/>
  <c r="D5" i="3"/>
  <c r="D4" i="3"/>
  <c r="D7" i="3"/>
  <c r="D3" i="3"/>
  <c r="C4" i="3"/>
  <c r="C6" i="3"/>
  <c r="C5" i="3"/>
  <c r="C7" i="3"/>
  <c r="C3" i="3"/>
  <c r="F5" i="3"/>
  <c r="F4" i="3"/>
  <c r="F7" i="3"/>
  <c r="F3" i="3"/>
  <c r="F6" i="3"/>
  <c r="C32" i="4"/>
  <c r="C34" i="4"/>
  <c r="C33" i="4"/>
  <c r="D2" i="4"/>
  <c r="D12" i="4"/>
  <c r="C38" i="4"/>
  <c r="C2" i="4"/>
  <c r="I4" i="3" l="1"/>
  <c r="N4" i="3"/>
  <c r="I5" i="3"/>
  <c r="N5" i="3"/>
  <c r="O3" i="3"/>
  <c r="J3" i="3"/>
  <c r="F32" i="4"/>
  <c r="F33" i="4"/>
  <c r="F34" i="4"/>
  <c r="F35" i="4"/>
  <c r="F38" i="4"/>
  <c r="F16" i="4"/>
  <c r="F36" i="4"/>
  <c r="N6" i="3"/>
  <c r="I6" i="3"/>
  <c r="S114" i="3"/>
  <c r="J7" i="3"/>
  <c r="O7" i="3"/>
  <c r="J4" i="3"/>
  <c r="O4" i="3"/>
  <c r="F24" i="4"/>
  <c r="F25" i="4"/>
  <c r="F22" i="4"/>
  <c r="F23" i="4"/>
  <c r="F27" i="4"/>
  <c r="F21" i="4"/>
  <c r="M6" i="3"/>
  <c r="H6" i="3"/>
  <c r="E9" i="3"/>
  <c r="E12" i="4"/>
  <c r="E35" i="4" s="1"/>
  <c r="AC69" i="4"/>
  <c r="AK69" i="4" s="1"/>
  <c r="K3" i="3"/>
  <c r="P3" i="3"/>
  <c r="J6" i="3"/>
  <c r="O6" i="3"/>
  <c r="K4" i="3"/>
  <c r="P4" i="3"/>
  <c r="K5" i="3"/>
  <c r="P5" i="3"/>
  <c r="H3" i="3"/>
  <c r="M3" i="3"/>
  <c r="H7" i="3"/>
  <c r="M7" i="3"/>
  <c r="M5" i="3"/>
  <c r="H5" i="3"/>
  <c r="P7" i="3"/>
  <c r="K7" i="3"/>
  <c r="H4" i="3"/>
  <c r="M4" i="3"/>
  <c r="I3" i="3"/>
  <c r="N3" i="3"/>
  <c r="K6" i="3"/>
  <c r="P6" i="3"/>
  <c r="I7" i="3"/>
  <c r="N7" i="3"/>
  <c r="D42" i="4"/>
  <c r="D41" i="4"/>
  <c r="C42" i="4"/>
  <c r="B38" i="4"/>
  <c r="B40" i="4"/>
  <c r="B44" i="4"/>
  <c r="B43" i="4"/>
  <c r="B32" i="4"/>
  <c r="B34" i="4"/>
  <c r="B41" i="4"/>
  <c r="B33" i="4"/>
  <c r="B42" i="4"/>
  <c r="D40" i="4"/>
  <c r="B35" i="4"/>
  <c r="B36" i="4"/>
  <c r="C16" i="4"/>
  <c r="C44" i="4"/>
  <c r="C43" i="4"/>
  <c r="C46" i="4"/>
  <c r="AF69" i="4"/>
  <c r="AN69" i="4" s="1"/>
  <c r="C41" i="4"/>
  <c r="E40" i="4"/>
  <c r="AE69" i="4"/>
  <c r="D43" i="4"/>
  <c r="AB69" i="4"/>
  <c r="D44" i="4"/>
  <c r="D35" i="4"/>
  <c r="D36" i="4"/>
  <c r="C9" i="3"/>
  <c r="D9" i="3"/>
  <c r="F9" i="3"/>
  <c r="D32" i="4"/>
  <c r="D34" i="4"/>
  <c r="D33" i="4"/>
  <c r="D16" i="4"/>
  <c r="D38" i="4"/>
  <c r="AA86" i="4" l="1"/>
  <c r="O8" i="3"/>
  <c r="J8" i="3"/>
  <c r="C27" i="6" s="1"/>
  <c r="J27" i="6" s="1"/>
  <c r="P8" i="3"/>
  <c r="AM69" i="4"/>
  <c r="AA87" i="4"/>
  <c r="AJ69" i="4"/>
  <c r="E42" i="4"/>
  <c r="E43" i="4"/>
  <c r="E41" i="4"/>
  <c r="E44" i="4"/>
  <c r="E46" i="4"/>
  <c r="E34" i="4"/>
  <c r="E16" i="4"/>
  <c r="E33" i="4"/>
  <c r="E38" i="4"/>
  <c r="E32" i="4"/>
  <c r="E36" i="4"/>
  <c r="N8" i="3"/>
  <c r="I8" i="3"/>
  <c r="M8" i="3"/>
  <c r="H8" i="3"/>
  <c r="K8" i="3"/>
  <c r="C26" i="6" l="1"/>
  <c r="J26" i="6" s="1"/>
  <c r="AG70" i="4" s="1"/>
  <c r="AO70" i="4" s="1"/>
  <c r="C27" i="9"/>
  <c r="J27" i="9" s="1"/>
  <c r="C26" i="9"/>
  <c r="J26" i="9" s="1"/>
  <c r="C30" i="7"/>
  <c r="J30" i="7" s="1"/>
  <c r="C31" i="7"/>
  <c r="J31" i="7" s="1"/>
  <c r="C26" i="5"/>
  <c r="J26" i="5" s="1"/>
  <c r="C27" i="5"/>
  <c r="J27" i="5" s="1"/>
  <c r="D3" i="4"/>
  <c r="D7" i="4" s="1"/>
  <c r="D14" i="4"/>
  <c r="E3" i="4" l="1"/>
  <c r="E14" i="4"/>
  <c r="AG69" i="4"/>
  <c r="AO69" i="4" s="1"/>
  <c r="AG72" i="4"/>
  <c r="AO72" i="4" s="1"/>
  <c r="AG71" i="4"/>
  <c r="AO71" i="4" s="1"/>
  <c r="C3" i="4"/>
  <c r="C7" i="4" s="1"/>
  <c r="C25" i="4" s="1"/>
  <c r="C14" i="4"/>
  <c r="C51" i="4" s="1"/>
  <c r="D52" i="4"/>
  <c r="D51" i="4"/>
  <c r="D50" i="4"/>
  <c r="D49" i="4"/>
  <c r="D48" i="4"/>
  <c r="D27" i="4"/>
  <c r="D23" i="4"/>
  <c r="D25" i="4"/>
  <c r="D21" i="4"/>
  <c r="D22" i="4"/>
  <c r="D24" i="4"/>
  <c r="B3" i="4"/>
  <c r="B7" i="4" s="1"/>
  <c r="B24" i="4" s="1"/>
  <c r="J89" i="4"/>
  <c r="B14" i="4"/>
  <c r="D54" i="4"/>
  <c r="E7" i="4"/>
  <c r="C23" i="4" l="1"/>
  <c r="C27" i="4"/>
  <c r="C22" i="4"/>
  <c r="C24" i="4"/>
  <c r="C21" i="4"/>
  <c r="C48" i="4"/>
  <c r="C54" i="4"/>
  <c r="C50" i="4"/>
  <c r="C49" i="4"/>
  <c r="C52" i="4"/>
  <c r="B51" i="4"/>
  <c r="B52" i="4"/>
  <c r="B50" i="4"/>
  <c r="B49" i="4"/>
  <c r="B48" i="4"/>
  <c r="E52" i="4"/>
  <c r="E51" i="4"/>
  <c r="E50" i="4"/>
  <c r="E49" i="4"/>
  <c r="E48" i="4"/>
  <c r="B27" i="4"/>
  <c r="B23" i="4"/>
  <c r="B22" i="4"/>
  <c r="B25" i="4"/>
  <c r="B21" i="4"/>
  <c r="E54" i="4"/>
  <c r="B54" i="4"/>
  <c r="E25" i="4"/>
  <c r="E22" i="4"/>
  <c r="E23" i="4"/>
  <c r="E24" i="4"/>
  <c r="E21" i="4"/>
  <c r="E27" i="4"/>
</calcChain>
</file>

<file path=xl/sharedStrings.xml><?xml version="1.0" encoding="utf-8"?>
<sst xmlns="http://schemas.openxmlformats.org/spreadsheetml/2006/main" count="1264" uniqueCount="347">
  <si>
    <t>Campus Emden</t>
  </si>
  <si>
    <t>Angestellte Köpfe</t>
  </si>
  <si>
    <t>Studierende Wintersemester (Vorjahr/Jahr)</t>
  </si>
  <si>
    <t>Hochschuleinkommen</t>
  </si>
  <si>
    <t>Hochschulausgaben</t>
  </si>
  <si>
    <t>Quelle:</t>
  </si>
  <si>
    <t>Netzbezug</t>
  </si>
  <si>
    <t>Windkraftanlage</t>
  </si>
  <si>
    <t>Photovoltaik</t>
  </si>
  <si>
    <t>BHKW Stom</t>
  </si>
  <si>
    <t>Stromeinspeisung</t>
  </si>
  <si>
    <t>Gesamt Stromverbrauch</t>
  </si>
  <si>
    <t>BHKW Gasverbrauch</t>
  </si>
  <si>
    <t>Gasverbrauch Gaskessel</t>
  </si>
  <si>
    <t>Gasverbrauch</t>
  </si>
  <si>
    <t>Weitergeleitete Wärme</t>
  </si>
  <si>
    <t>Trinkwasser</t>
  </si>
  <si>
    <t>Paapsand Müll</t>
  </si>
  <si>
    <t>Paapsand Kanal</t>
  </si>
  <si>
    <t>Einheit</t>
  </si>
  <si>
    <t>kWh</t>
  </si>
  <si>
    <t>kg</t>
  </si>
  <si>
    <t>Mobilität</t>
  </si>
  <si>
    <t>THG-Emissionen pro Handlungsfeld</t>
  </si>
  <si>
    <t>Energie</t>
  </si>
  <si>
    <t>Beschaffungen</t>
  </si>
  <si>
    <t>Entsorgung</t>
  </si>
  <si>
    <t>Gesamtemissionen</t>
  </si>
  <si>
    <t>THG-Emissionen pro Scope</t>
  </si>
  <si>
    <t>Scope 1</t>
  </si>
  <si>
    <t>Scope 2</t>
  </si>
  <si>
    <t>Scope 3</t>
  </si>
  <si>
    <t>Scope 1+2</t>
  </si>
  <si>
    <t>THG-Emssionen pro Mitarbeitende</t>
  </si>
  <si>
    <t>THG-Emssionen pro Studierenden</t>
  </si>
  <si>
    <t>THG-Emssionen pro Hochschulangehörigen</t>
  </si>
  <si>
    <t>THG-Emissionen pro Hochschuleinkommen</t>
  </si>
  <si>
    <t>THG-Emissionen pro Hochschulausgaben</t>
  </si>
  <si>
    <t>THG-Emissionen pro Hochschulumsatz</t>
  </si>
  <si>
    <t>SCOPE 1 Emssionen pro Mitarbeitende</t>
  </si>
  <si>
    <t>SCOPE 1 Emssionen pro Studierenden</t>
  </si>
  <si>
    <t>SCOPE 1 Emssionen pro Hochschulangehörigen</t>
  </si>
  <si>
    <t>SCOPE 1 Emissionen pro Hochschulumsatz</t>
  </si>
  <si>
    <t>SCOPE 2 Emssionen pro Mitarbeitende</t>
  </si>
  <si>
    <t>SCOPE 2 Emssionen pro Studierenden</t>
  </si>
  <si>
    <t>SCOPE 2 Emssionen pro Hochschulangehörigen</t>
  </si>
  <si>
    <t>SCOPE 3 Emssionen pro Mitarbeitende</t>
  </si>
  <si>
    <t>SCOPE 3 Emssionen pro Studierenden</t>
  </si>
  <si>
    <t>SCOPE 3 Emssionen pro Hochschulangehörigen</t>
  </si>
  <si>
    <t>Scope</t>
  </si>
  <si>
    <t>Emissionsquelle</t>
  </si>
  <si>
    <t>Menge</t>
  </si>
  <si>
    <t>Quelle</t>
  </si>
  <si>
    <t>Faktor</t>
  </si>
  <si>
    <t>CO2</t>
  </si>
  <si>
    <t>Erdgas</t>
  </si>
  <si>
    <t>Abrechnung</t>
  </si>
  <si>
    <t>g/kWh</t>
  </si>
  <si>
    <t>Diesel</t>
  </si>
  <si>
    <t>?</t>
  </si>
  <si>
    <t>g/Liter</t>
  </si>
  <si>
    <t>https://www.umweltbundesamt.de/sites/default/files/medien/11850/publikationen/20231219_49_2023_cc_emissionsbilanz_erneuerbarer_energien_2022_bf.pdf S.146 Umrechnung 9,96 kWh/Liter</t>
  </si>
  <si>
    <t>Benzin</t>
  </si>
  <si>
    <t>https://www.umweltbundesamt.de/sites/default/files/medien/11850/publikationen/20231219_49_2023_cc_emissionsbilanz_erneuerbarer_energien_2022_bf.pdf S.150 Umrechnung 9,02 kWh/Liter</t>
  </si>
  <si>
    <t>Strom</t>
  </si>
  <si>
    <t>Vorkette Gas</t>
  </si>
  <si>
    <t>Vorketten</t>
  </si>
  <si>
    <t>Vorkette Strom</t>
  </si>
  <si>
    <t>Vorkette Diesel</t>
  </si>
  <si>
    <t>Vorkette Benzin</t>
  </si>
  <si>
    <t>Frischwasser</t>
  </si>
  <si>
    <t>cbm</t>
  </si>
  <si>
    <t>g /m3</t>
  </si>
  <si>
    <t>https://www.probas.umweltbundesamt.de/einblick/#/details/218bbfcd-d3aa-4449-ae1e-25887291a21a</t>
  </si>
  <si>
    <t>Papierkauf</t>
  </si>
  <si>
    <t>Seiten</t>
  </si>
  <si>
    <t>Hochschulrechenzentrum</t>
  </si>
  <si>
    <t>kg/1000 Seiten</t>
  </si>
  <si>
    <t>IT-Bedarf</t>
  </si>
  <si>
    <t>Fahrzeuge</t>
  </si>
  <si>
    <t>Abrechnungen</t>
  </si>
  <si>
    <t>Abwasser</t>
  </si>
  <si>
    <t>g/m3</t>
  </si>
  <si>
    <t xml:space="preserve">http://web.archive.org/web/20150919035044/http://www.probas.umweltbundesamt.de/php/prozessdetails.php?id={4AA00B29-8EB5-4695-8CE9-FF98139D48F2} </t>
  </si>
  <si>
    <t>Restmüll</t>
  </si>
  <si>
    <t>Müllwiegung aus Abrechnung</t>
  </si>
  <si>
    <t>g/kg</t>
  </si>
  <si>
    <t>https://www.swb.de/-/media/files/entsorgung/umwelterklaerungen/de-112-00004-swberzeugungentsorgung-2023-web.pdf Seite 40</t>
  </si>
  <si>
    <t>Papiermüll</t>
  </si>
  <si>
    <t>Abholinterval mal Volumen mal Dichte</t>
  </si>
  <si>
    <t>Organische Verbindungen</t>
  </si>
  <si>
    <t>Abfallanalyse 2018</t>
  </si>
  <si>
    <t>Metall</t>
  </si>
  <si>
    <t>Geschäftsreisen Auto</t>
  </si>
  <si>
    <t>g / Pkm</t>
  </si>
  <si>
    <t>https://www.umweltbundesamt.de/themen/verkehr/emissionsdaten#verkehrsmittelvergleich</t>
  </si>
  <si>
    <t>Geschäftsreisen Zug</t>
  </si>
  <si>
    <t>Geschäftsreise Flugzeug</t>
  </si>
  <si>
    <t>Auslandssemester ZUG</t>
  </si>
  <si>
    <t>Pkm</t>
  </si>
  <si>
    <t xml:space="preserve">https://www.hs-emden-leer.de/hochschule/organisation/einrichtungen/hochschulplanung-und-qualitaetssicherung/zahlen-daten-und-fakten/oeffentliche-berichte </t>
  </si>
  <si>
    <t>Auslandssemester Flug</t>
  </si>
  <si>
    <t>Annahme über 1500 km Flug</t>
  </si>
  <si>
    <t>Alltagsmobilität PKW</t>
  </si>
  <si>
    <t>Tabelle Mobilität</t>
  </si>
  <si>
    <t>Alltagsmobilität ZUG</t>
  </si>
  <si>
    <t>https://mobilitaet-in-tabellen.dlr.de/mit/login.html?brd (16% ÖPNV für zentrale Stadt im ländlichen Raum)</t>
  </si>
  <si>
    <t>Liter</t>
  </si>
  <si>
    <t>-</t>
  </si>
  <si>
    <t>82 kWh E-Fahrzeug</t>
  </si>
  <si>
    <t>7800 + 84*Batteriegröße [kWh]</t>
  </si>
  <si>
    <t>https://de.statista.com/statistik/daten/studie/1421117/umfrage/emissionen-strom-deutschland-und-frankreich/</t>
  </si>
  <si>
    <t>g/Seite</t>
  </si>
  <si>
    <t>2023 (August 2024)</t>
  </si>
  <si>
    <t>CO2 [Megagramm]</t>
  </si>
  <si>
    <t>Pendelweg [km]</t>
  </si>
  <si>
    <t>WiSe 19/20 [%] UMFRAGE Erstsemester (n=716)</t>
  </si>
  <si>
    <t>WiSe 20/21 [%] UMFRAGE Erstsemester (n=364)</t>
  </si>
  <si>
    <t>WiSe 21/22 [%] UMFRAGE Erstsemester (n=461)</t>
  </si>
  <si>
    <t>WiSe 22/23 [%] UMFRAGE Erstsemester (n=564)</t>
  </si>
  <si>
    <t xml:space="preserve"> </t>
  </si>
  <si>
    <t>WiSe 19/20 Kilometer Studis (30 Tage)</t>
  </si>
  <si>
    <t>WiSe 20/21 Kilometer Studis (50 Tage)</t>
  </si>
  <si>
    <t>WiSe 21/22 Kilometer Studis (90 Tage)</t>
  </si>
  <si>
    <t>WiSe 22/23 Kilometer Studis(110 Tage)</t>
  </si>
  <si>
    <t>WiSe 19/20 Kilometer Angestellte (50 Tage)</t>
  </si>
  <si>
    <t>WiSe 20/21 Kilometer Angestellte (84 Tage)</t>
  </si>
  <si>
    <t>WiSe 21/22 Kilometer Angestellte (150 Tage)</t>
  </si>
  <si>
    <t>WiSe 22/23 Kilometer Angestellte (184 Tage)</t>
  </si>
  <si>
    <t>20-50 km</t>
  </si>
  <si>
    <t>50-100 km</t>
  </si>
  <si>
    <t>100-300 km</t>
  </si>
  <si>
    <t>Gesamt</t>
  </si>
  <si>
    <t>&gt;300km</t>
  </si>
  <si>
    <t>Auto</t>
  </si>
  <si>
    <t>Spezifische CO2- Emissionen [g/km]</t>
  </si>
  <si>
    <t>Kilometer [km]</t>
  </si>
  <si>
    <t>Direkte CO2-Emissionen [kg]</t>
  </si>
  <si>
    <t xml:space="preserve">Quelle: </t>
  </si>
  <si>
    <t>VW Passat GTE</t>
  </si>
  <si>
    <t>https://carwiki.de/passat-gte-technische-daten</t>
  </si>
  <si>
    <t>Audi A6</t>
  </si>
  <si>
    <t>https://carwiki.de/audi-a6-co2-ausstoss/</t>
  </si>
  <si>
    <t>VW Passat B8</t>
  </si>
  <si>
    <t>https://carwiki.de/volkswagen-passat-technische-daten</t>
  </si>
  <si>
    <t>VW ID 3</t>
  </si>
  <si>
    <t>https://carwiki.de/vw-id-3-technische-daten</t>
  </si>
  <si>
    <t>Bulli LuB</t>
  </si>
  <si>
    <t>https://carwiki.de/vw-transporter-technische-daten</t>
  </si>
  <si>
    <t>Fuhrpark aus Abrechnungen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</si>
  <si>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</si>
  <si>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</si>
  <si>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</si>
  <si>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</si>
  <si>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</si>
  <si>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</si>
  <si>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</si>
  <si>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</si>
  <si>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</si>
  <si>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</si>
  <si>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</si>
  <si>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</si>
  <si>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Super</t>
  </si>
  <si>
    <t>2019/2020</t>
  </si>
  <si>
    <t>2020/2021</t>
  </si>
  <si>
    <t>2021/2022</t>
  </si>
  <si>
    <t>2022/2023</t>
  </si>
  <si>
    <t>Auslandssemster + Erasmus STA und STT Aufenthalte</t>
  </si>
  <si>
    <t>Land</t>
  </si>
  <si>
    <t>Entfernung</t>
  </si>
  <si>
    <t>ZUG Kilometer</t>
  </si>
  <si>
    <t>Flieger Kilometer</t>
  </si>
  <si>
    <t>Australien</t>
  </si>
  <si>
    <t>Spanien</t>
  </si>
  <si>
    <t>Marshallinseln</t>
  </si>
  <si>
    <t>Finnland</t>
  </si>
  <si>
    <t>Argentinien</t>
  </si>
  <si>
    <t>Frankreich</t>
  </si>
  <si>
    <t>Indonesien</t>
  </si>
  <si>
    <t>Belgien</t>
  </si>
  <si>
    <t>Peru</t>
  </si>
  <si>
    <t>Niederlande</t>
  </si>
  <si>
    <t>Malaysia</t>
  </si>
  <si>
    <t>Norwegen</t>
  </si>
  <si>
    <t>Südafrika</t>
  </si>
  <si>
    <t>Kanada</t>
  </si>
  <si>
    <t>Mexiko</t>
  </si>
  <si>
    <t>Türkei</t>
  </si>
  <si>
    <t>Thailand</t>
  </si>
  <si>
    <t>Österreich</t>
  </si>
  <si>
    <t>Korea</t>
  </si>
  <si>
    <t>China</t>
  </si>
  <si>
    <t>USA</t>
  </si>
  <si>
    <t>Zypern</t>
  </si>
  <si>
    <t>Irland</t>
  </si>
  <si>
    <t>portugal</t>
  </si>
  <si>
    <t>Portugal</t>
  </si>
  <si>
    <t>Albanien</t>
  </si>
  <si>
    <t>Island</t>
  </si>
  <si>
    <t>Schweden</t>
  </si>
  <si>
    <t>Malta</t>
  </si>
  <si>
    <t>Dänemark</t>
  </si>
  <si>
    <t>Russland</t>
  </si>
  <si>
    <t>Polen</t>
  </si>
  <si>
    <t>Rumänien</t>
  </si>
  <si>
    <t>Verein. Königreich</t>
  </si>
  <si>
    <t>Lettland</t>
  </si>
  <si>
    <t>Belarus</t>
  </si>
  <si>
    <t>Italien</t>
  </si>
  <si>
    <t>Ungarn</t>
  </si>
  <si>
    <t>Litauen</t>
  </si>
  <si>
    <t>Tansania</t>
  </si>
  <si>
    <t>Jordanien</t>
  </si>
  <si>
    <t>Tschechien</t>
  </si>
  <si>
    <t>Strom Maritimes Technikum</t>
  </si>
  <si>
    <t>Wasser</t>
  </si>
  <si>
    <t>Niederschlag</t>
  </si>
  <si>
    <t>Restmüllabholung Bergmannstraße</t>
  </si>
  <si>
    <t>Papiermüllabholung Bergmannstraße</t>
  </si>
  <si>
    <t xml:space="preserve"> qm</t>
  </si>
  <si>
    <t>Restmüllabholung Kirchstraße</t>
  </si>
  <si>
    <t>Papiermüllabholung Kirchstraße</t>
  </si>
  <si>
    <t>Restmüll Gewichtsgebühr (15*1100 L / Woche)</t>
  </si>
  <si>
    <t>Kirchstr. 24, 26789 Leer (Ostfriesland)</t>
  </si>
  <si>
    <t>Gas</t>
  </si>
  <si>
    <t>Bergmannstraße 36, 26789 Leer (Ostfriesland)</t>
  </si>
  <si>
    <t>https://www.hs-emden-leer.de/hochschule/organisation/einrichtungen/hochschulplanung-und-qualitaetssicherung/zahlen-daten-und-fakten/oeffentliche-berichte</t>
  </si>
  <si>
    <t>Grafana</t>
  </si>
  <si>
    <t>Stromzähler</t>
  </si>
  <si>
    <t>Wirkungsgrad und Gasverbrauch</t>
  </si>
  <si>
    <t>Summe</t>
  </si>
  <si>
    <t>Energiesteuerrückzahlung</t>
  </si>
  <si>
    <t>Abrechnung Gasversorger</t>
  </si>
  <si>
    <t>Wärmemengenzähler</t>
  </si>
  <si>
    <t>Grundstücksabgaben</t>
  </si>
  <si>
    <t>Endjahresabrechnung</t>
  </si>
  <si>
    <t>Abholungsintervall: 1 Mal pro Monat 1100 Liter (105 kg/m³)</t>
  </si>
  <si>
    <t>Abholungsintervall: 1 Mal pro Monat 1100 Liter (50 kg/m³)</t>
  </si>
  <si>
    <t>Abholungsintervall 1 Mal pro Woche 1100 Liter (105 kg/m³)</t>
  </si>
  <si>
    <t>Abholungsintervall: alle 2 Wochen 1100 Liter (50 kg/m³)</t>
  </si>
  <si>
    <t xml:space="preserve">https://www.studentenwerk-oldenburg.de/de/allgemeines/publikationen/geschaeftsberichte?format=html </t>
  </si>
  <si>
    <t xml:space="preserve">Abrechnungen </t>
  </si>
  <si>
    <t>Tabelle Mobilität: Annahme über 1500 km Flug</t>
  </si>
  <si>
    <t>Pendelmobilität aus Erstsemesterumfrage HP QS</t>
  </si>
  <si>
    <t>Fuhrpark 2022 aus Kilometerstand</t>
  </si>
  <si>
    <t>SCOPE 1 Emissionen pro Hochschulausgaben [T€]</t>
  </si>
  <si>
    <t>SCOPE 1 Emissionen pro Hochschuleinkommen [T€]</t>
  </si>
  <si>
    <t>SCOPE 2 Emissionen pro Hochschuleinkommen [T€]</t>
  </si>
  <si>
    <t>SCOPE 2 Emissionen pro Hochschulausgaben [T€]</t>
  </si>
  <si>
    <t>SCOPE 2 Emissionen pro Hochschulumsatz [T€]</t>
  </si>
  <si>
    <t>SCOPE 3 Emissionen pro Hochschuleinkommen [T€]</t>
  </si>
  <si>
    <t>SCOPE 3 Emissionen pro Hochschulausgaben [T€]</t>
  </si>
  <si>
    <t>SCOPE 3 Emissionen pro Hochschulumsatz [T€]</t>
  </si>
  <si>
    <t>SCOPE 3 Emissionen pro Bruttoraumfläche [m²]</t>
  </si>
  <si>
    <t>SCOPE 2 Emissionen pro Bruttoraumfläche [m²]</t>
  </si>
  <si>
    <t>SCOPE 1 Emissionen pro Bruttoraumfläche [m²]</t>
  </si>
  <si>
    <t>THG-Emissionen pro pro Bruttoraumfläche [m²]</t>
  </si>
  <si>
    <t>2 weitere Fahrzeuge</t>
  </si>
  <si>
    <t>km</t>
  </si>
  <si>
    <t>Kilometerstand</t>
  </si>
  <si>
    <t>https://www.bmuv.de/themen/verkehr/elektromobilitaet/klima-und-energie Abbildung 1</t>
  </si>
  <si>
    <t>https://mobilitaet-in-tabellen.dlr.de/mit/Tables?action=extrapolation&amp;filename=MiD2017_VA-VL_VM-Raum.pdf&amp;pwh=-1545834436 (16% ÖPNV für zentrale Stadt im ländlichen Raum)</t>
  </si>
  <si>
    <t>Kroatien</t>
  </si>
  <si>
    <t>kWh (Brennwert)</t>
  </si>
  <si>
    <t>"Emissionsberichterstattungsverordnung 2030 vom 21. Dezember 2022 (BGBl. I S. 2868)"</t>
  </si>
  <si>
    <t>Gefährliche Abfälle</t>
  </si>
  <si>
    <t>Strom (Marktbezogen)</t>
  </si>
  <si>
    <t>Strom (Bundesstrommix)</t>
  </si>
  <si>
    <t>Möbel</t>
  </si>
  <si>
    <t>EUR</t>
  </si>
  <si>
    <t>CO2 [t CO2-Äq] - https://www.sedus.com/de/unternehmen/nachhaltigkeit/co2-footprint/green-codex</t>
  </si>
  <si>
    <t>Umsatz [Mio. €] - https://web.archive.org/web/20210908174141/https://www.sedus.com/de/unternehmen/daten-fakten/geschaeftszahlen</t>
  </si>
  <si>
    <t>Für Möbel beispielsweise Sedus Stoll AG:</t>
  </si>
  <si>
    <t>g/EUR</t>
  </si>
  <si>
    <t>Für IT-Hardware:</t>
  </si>
  <si>
    <t>CO2 [MT] - https://www.dell.com/de-de/dt/corporate/social-impact/esg-resources/reports/fy23-esg-report.htm?hve=bericht+lesen#pdf-overlay=//www.delltechnologies.com/asset/de-de/solutions/business-solutions/briefs-summaries/delltechnologies-fy23-esg-report.pdf</t>
  </si>
  <si>
    <t>Jahresumsatz [MRD. EUR], Wechselkurs 1 USD: 0,93 EUR</t>
  </si>
  <si>
    <t>https://www.umweltbundesamt.de/publikationen/entwicklung-der-spezifischen-treibhausgas-10</t>
  </si>
  <si>
    <t>Link</t>
  </si>
  <si>
    <t>https://www.gesetze-im-internet.de/ebev_2030/BJNR286800022.html</t>
  </si>
  <si>
    <t>"Emissionsberichterstattungsverordnung 2030 vom 21. Dezember 2022 (BGBl. I S. 2868)" Teil 4 Standardwerte zur Berechnung von Brennstoffemissionen</t>
  </si>
  <si>
    <t>S.146 Umrechnung 9,96 kWh/Liter</t>
  </si>
  <si>
    <t>S.150 Umrechnung 9,02 kWh/Liter</t>
  </si>
  <si>
    <t>https://www.umweltbundesamt.de/sites/default/files/medien/11850/publikationen/20231219_49_2023_cc_emissionsbilanz_erneuerbarer_energien_2022_bf.pdf</t>
  </si>
  <si>
    <t>https://www.umweltbundesamt.de/publikationen/entwicklung-der-spezifischen-treibhausgas-9</t>
  </si>
  <si>
    <t>S. 12 CO2-Emissionsfaktor Strommix</t>
  </si>
  <si>
    <t>https://www.energiedeutschland.de/uber-uns/stromkennzeichnung/</t>
  </si>
  <si>
    <t>Ökostrombezug</t>
  </si>
  <si>
    <t>https://www.umweltbundesamt.de/sites/default/files/medien/1410/publikationen/cc_61-2021_emissionsfaktoren-stromerzeugung_bf.pdf</t>
  </si>
  <si>
    <t>S. 12 CO2-Emissionsfaktor mit Vorketten - Emissionsfaktor Strommix</t>
  </si>
  <si>
    <t>Seite 36;  Umrechnung Heizwert in Brennwert: (0,9024): https://ag-energiebilanzen.de/wp-content/uploads/2022/04/Heizwerte2005bis2020.pdf</t>
  </si>
  <si>
    <t>Probas</t>
  </si>
  <si>
    <t>Basiert auf UBA: https://www.umweltbundesamt.de/sites/default/files/medien/479/publikationen/texte_123-2022_aktualisierte_oekobilanz_von_grafik-_und_hygienepapier.pdf</t>
  </si>
  <si>
    <t>https://www.papiernetz.de/informationen/nachhaltigkeitsrechner/</t>
  </si>
  <si>
    <t>Wert aus dem Jahr 2005</t>
  </si>
  <si>
    <t>https://www.swb.de/-/media/files/entsorgung/umwelterklaerungen/de-112-00004-swberzeugungentsorgung-2023-web.pdf</t>
  </si>
  <si>
    <t>Nachhaltigkeitsbericht der zuständigen Müllverbrennungsanlage Seite 40</t>
  </si>
  <si>
    <t>Seite 222</t>
  </si>
  <si>
    <t>https://www.bmuv.de/fileadmin/Daten_BMU/Pools/Forschungsdatenbank/fkz_3711_33_311_klimaschutzpotenziale_abfallwirtschaft_bf.pdf</t>
  </si>
  <si>
    <t>Seite 10</t>
  </si>
  <si>
    <t>https://www.bafa.de/SharedDocs/Downloads/DE/Energie/eew_infoblatt_co2_faktoren_2023.pdf</t>
  </si>
  <si>
    <t>Seite 219</t>
  </si>
  <si>
    <t>UBA</t>
  </si>
  <si>
    <t>https://www.umweltbundesamt.de/sites/default/files/medien/11850/publikationen/13_2024_texte_analyse_der_umweltbilanz_von_kraftfahrzeugen_0.pdf</t>
  </si>
  <si>
    <t>Seite 175+176</t>
  </si>
  <si>
    <t xml:space="preserve"> S.150 Umrechnung 9,02 kWh/Liter</t>
  </si>
  <si>
    <t>Beispielhafter Wert eines Möbellieferanten</t>
  </si>
  <si>
    <t>https://www.sedus.com/de/unternehmen/nachhaltigkeit/co2-footprint/green-codex</t>
  </si>
  <si>
    <t>Beispielhafter Wert eines IT-Geräteherstellers</t>
  </si>
  <si>
    <t>https://www.dell.com/de-de/dt/corporate/social-impact/esg-resources/reports/fy23-esg-report.htm?hve=bericht+lesen#pdf-overlay=//www.delltechnologies.com/asset/de-de/solutions/business-solutions/briefs-summaries/delltechnologies-fy23-esg-report.pdf</t>
  </si>
  <si>
    <t>Fuhrpark</t>
  </si>
  <si>
    <t>kein Wert</t>
  </si>
  <si>
    <t>Kühlmittel</t>
  </si>
  <si>
    <t>Strombezug</t>
  </si>
  <si>
    <t>Vorkettenemissionen</t>
  </si>
  <si>
    <t>Pendelmobilität</t>
  </si>
  <si>
    <t>Alltagsmobilität</t>
  </si>
  <si>
    <t>Wasser Abfall</t>
  </si>
  <si>
    <t>Toilettenpapier</t>
  </si>
  <si>
    <t>Falthandtücher</t>
  </si>
  <si>
    <t>Am Studienort (0-5 km)</t>
  </si>
  <si>
    <t>5-20 km</t>
  </si>
  <si>
    <t>EUROPE</t>
  </si>
  <si>
    <t>CO2 in kg</t>
  </si>
  <si>
    <t>Gebäudebestand</t>
  </si>
  <si>
    <t>Kunststoff</t>
  </si>
  <si>
    <t>Seite 76</t>
  </si>
  <si>
    <t>Abfall [Megagramm]</t>
  </si>
  <si>
    <t>Dienstreisen</t>
  </si>
  <si>
    <t>https://app.electricitymaps.com/zone/DE</t>
  </si>
  <si>
    <t>Nachhaltigkeitsbericht der zuständigen Müllverbrennungsanlage Seite 35</t>
  </si>
  <si>
    <t>Referenzszenario</t>
  </si>
  <si>
    <t>Jahr</t>
  </si>
  <si>
    <t>Wärmebedingte Emissionen</t>
  </si>
  <si>
    <t>Masterplanszenario</t>
  </si>
  <si>
    <t>Stromverbrauch</t>
  </si>
  <si>
    <t>Strombedingte Emissionen</t>
  </si>
  <si>
    <t>Emissionsfaktor Strom</t>
  </si>
  <si>
    <t xml:space="preserve">PV- Aubau in kWp </t>
  </si>
  <si>
    <t>BHKW-Offtime in %</t>
  </si>
  <si>
    <t>Emissionsfaktor Wärmegestehung</t>
  </si>
  <si>
    <t>Emissionen</t>
  </si>
  <si>
    <t>Wärmeverbrauch in kWh</t>
  </si>
  <si>
    <t>Emissionsfaktor in kg/kWh</t>
  </si>
  <si>
    <t>Trend</t>
  </si>
  <si>
    <t>Ziel</t>
  </si>
  <si>
    <t>Real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</si>
</sst>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\ _€_-;\-* #,##0.00\ _€_-;_-* &quot;-&quot;??\ _€_-;_-@_-"/>
    <numFmt numFmtId="164" formatCode="#,##0\ &quot;kWh&quot;"/>
    <numFmt numFmtId="165" formatCode="#,##0\ &quot;m³&quot;"/>
    <numFmt numFmtId="166" formatCode="_-* #,##0\ [$€-407]_-;\-* #,##0\ [$€-407]_-;_-* &quot;-&quot;??\ [$€-407]_-;_-@_-"/>
    <numFmt numFmtId="167" formatCode="#,##0\ &quot;kg&quot;"/>
    <numFmt numFmtId="168" formatCode="#,##0.000"/>
    <numFmt numFmtId="169" formatCode="#,##0&quot; kg&quot;"/>
    <numFmt numFmtId="170" formatCode="#,##0&quot; t&quot;"/>
    <numFmt numFmtId="171" formatCode="#,##0.000&quot; kg&quot;"/>
    <numFmt numFmtId="172" formatCode="#,##0.0&quot; kg&quot;"/>
    <numFmt numFmtId="173" formatCode="#,##0.000000"/>
    <numFmt numFmtId="174" formatCode="#,##0\ &quot;km&quot;"/>
    <numFmt numFmtId="175" formatCode="0.0"/>
    <numFmt numFmtId="176" formatCode="_-* #,##0_-;\-* #,##0_-;_-* &quot;-&quot;??_-;_-@_-"/>
    <numFmt numFmtId="177" formatCode="0.0\ &quot;%&quot;"/>
    <numFmt numFmtId="178" formatCode="0.00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000000"/>
      <name val="Liberation Sans1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0"/>
      <color theme="0"/>
      <name val="Liberation Sans1"/>
    </font>
    <font>
      <sz val="10"/>
      <color rgb="FF000000"/>
      <name val="Montserrat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Montserrat Medium"/>
    </font>
    <font>
      <sz val="10"/>
      <color rgb="FF000000"/>
      <name val="Liberation Sans1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86">
    <xf numFmtId="0" fontId="0" fillId="0" borderId="0" xfId="0"/>
    <xf numFmtId="0" fontId="4" fillId="0" borderId="0" xfId="0" applyFont="1"/>
    <xf numFmtId="4" fontId="0" fillId="0" borderId="0" xfId="0" applyNumberFormat="1"/>
    <xf numFmtId="3" fontId="0" fillId="0" borderId="0" xfId="0" applyNumberFormat="1"/>
    <xf numFmtId="4" fontId="5" fillId="0" borderId="0" xfId="0" applyNumberFormat="1" applyFont="1"/>
    <xf numFmtId="3" fontId="5" fillId="0" borderId="0" xfId="0" applyNumberFormat="1" applyFont="1"/>
    <xf numFmtId="164" fontId="0" fillId="0" borderId="0" xfId="0" applyNumberFormat="1"/>
    <xf numFmtId="165" fontId="5" fillId="0" borderId="0" xfId="0" applyNumberFormat="1" applyFont="1"/>
    <xf numFmtId="166" fontId="0" fillId="0" borderId="0" xfId="0" applyNumberFormat="1"/>
    <xf numFmtId="167" fontId="5" fillId="0" borderId="0" xfId="0" applyNumberFormat="1" applyFont="1"/>
    <xf numFmtId="168" fontId="0" fillId="0" borderId="0" xfId="0" applyNumberFormat="1"/>
    <xf numFmtId="9" fontId="0" fillId="0" borderId="0" xfId="2" applyFont="1"/>
    <xf numFmtId="43" fontId="0" fillId="0" borderId="0" xfId="1" applyFont="1"/>
    <xf numFmtId="1" fontId="0" fillId="0" borderId="0" xfId="0" applyNumberFormat="1"/>
    <xf numFmtId="3" fontId="6" fillId="0" borderId="0" xfId="0" applyNumberFormat="1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169" fontId="0" fillId="0" borderId="0" xfId="0" applyNumberFormat="1"/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0" fontId="0" fillId="2" borderId="0" xfId="0" applyFill="1"/>
    <xf numFmtId="3" fontId="0" fillId="2" borderId="0" xfId="0" applyNumberFormat="1" applyFill="1" applyAlignment="1">
      <alignment horizontal="right"/>
    </xf>
    <xf numFmtId="0" fontId="3" fillId="2" borderId="0" xfId="3" applyFill="1"/>
    <xf numFmtId="169" fontId="0" fillId="2" borderId="0" xfId="0" applyNumberFormat="1" applyFill="1" applyAlignment="1">
      <alignment horizontal="right"/>
    </xf>
    <xf numFmtId="0" fontId="0" fillId="3" borderId="0" xfId="0" applyFill="1"/>
    <xf numFmtId="3" fontId="0" fillId="3" borderId="0" xfId="0" applyNumberFormat="1" applyFill="1" applyAlignment="1">
      <alignment horizontal="right"/>
    </xf>
    <xf numFmtId="0" fontId="3" fillId="3" borderId="0" xfId="3" applyFill="1"/>
    <xf numFmtId="169" fontId="0" fillId="3" borderId="0" xfId="0" applyNumberFormat="1" applyFill="1" applyAlignment="1">
      <alignment horizontal="right"/>
    </xf>
    <xf numFmtId="0" fontId="0" fillId="4" borderId="0" xfId="0" applyFill="1"/>
    <xf numFmtId="3" fontId="0" fillId="4" borderId="0" xfId="0" applyNumberFormat="1" applyFill="1" applyAlignment="1">
      <alignment horizontal="right"/>
    </xf>
    <xf numFmtId="0" fontId="3" fillId="4" borderId="0" xfId="3" applyFill="1"/>
    <xf numFmtId="169" fontId="0" fillId="4" borderId="0" xfId="0" applyNumberFormat="1" applyFill="1" applyAlignment="1">
      <alignment horizontal="right"/>
    </xf>
    <xf numFmtId="0" fontId="0" fillId="5" borderId="0" xfId="0" applyFill="1"/>
    <xf numFmtId="3" fontId="0" fillId="5" borderId="0" xfId="0" applyNumberFormat="1" applyFill="1" applyAlignment="1">
      <alignment horizontal="right"/>
    </xf>
    <xf numFmtId="0" fontId="3" fillId="5" borderId="0" xfId="3" applyFill="1"/>
    <xf numFmtId="169" fontId="0" fillId="5" borderId="0" xfId="0" applyNumberFormat="1" applyFill="1" applyAlignment="1">
      <alignment horizontal="right"/>
    </xf>
    <xf numFmtId="2" fontId="0" fillId="5" borderId="0" xfId="0" applyNumberFormat="1" applyFill="1"/>
    <xf numFmtId="0" fontId="0" fillId="6" borderId="0" xfId="0" applyFill="1"/>
    <xf numFmtId="3" fontId="0" fillId="6" borderId="0" xfId="0" applyNumberFormat="1" applyFill="1" applyAlignment="1">
      <alignment horizontal="right"/>
    </xf>
    <xf numFmtId="0" fontId="3" fillId="6" borderId="0" xfId="3" applyFill="1"/>
    <xf numFmtId="169" fontId="0" fillId="6" borderId="0" xfId="0" applyNumberFormat="1" applyFill="1" applyAlignment="1">
      <alignment horizontal="right"/>
    </xf>
    <xf numFmtId="1" fontId="0" fillId="6" borderId="0" xfId="0" applyNumberFormat="1" applyFill="1"/>
    <xf numFmtId="0" fontId="3" fillId="6" borderId="0" xfId="3" applyFill="1" applyAlignment="1"/>
    <xf numFmtId="169" fontId="0" fillId="0" borderId="0" xfId="0" applyNumberFormat="1" applyAlignment="1">
      <alignment horizontal="right"/>
    </xf>
    <xf numFmtId="173" fontId="0" fillId="0" borderId="1" xfId="1" applyNumberFormat="1" applyFont="1" applyBorder="1" applyAlignment="1">
      <alignment vertical="center"/>
    </xf>
    <xf numFmtId="0" fontId="0" fillId="6" borderId="0" xfId="0" applyFill="1" applyAlignment="1">
      <alignment horizontal="right"/>
    </xf>
    <xf numFmtId="169" fontId="0" fillId="2" borderId="0" xfId="0" applyNumberFormat="1" applyFill="1"/>
    <xf numFmtId="169" fontId="0" fillId="3" borderId="0" xfId="0" applyNumberFormat="1" applyFill="1"/>
    <xf numFmtId="169" fontId="0" fillId="4" borderId="0" xfId="0" applyNumberFormat="1" applyFill="1"/>
    <xf numFmtId="169" fontId="0" fillId="5" borderId="0" xfId="0" applyNumberForma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3" fillId="0" borderId="0" xfId="3"/>
    <xf numFmtId="10" fontId="0" fillId="0" borderId="0" xfId="0" applyNumberFormat="1"/>
    <xf numFmtId="14" fontId="0" fillId="0" borderId="0" xfId="0" applyNumberFormat="1"/>
    <xf numFmtId="174" fontId="0" fillId="0" borderId="0" xfId="0" applyNumberFormat="1"/>
    <xf numFmtId="175" fontId="0" fillId="0" borderId="0" xfId="0" applyNumberFormat="1"/>
    <xf numFmtId="0" fontId="7" fillId="0" borderId="0" xfId="0" applyFont="1"/>
    <xf numFmtId="174" fontId="4" fillId="0" borderId="0" xfId="0" applyNumberFormat="1" applyFont="1"/>
    <xf numFmtId="176" fontId="0" fillId="0" borderId="0" xfId="0" applyNumberFormat="1"/>
    <xf numFmtId="0" fontId="8" fillId="0" borderId="0" xfId="0" applyFont="1"/>
    <xf numFmtId="3" fontId="8" fillId="0" borderId="0" xfId="0" applyNumberFormat="1" applyFont="1"/>
    <xf numFmtId="0" fontId="0" fillId="0" borderId="0" xfId="0" applyAlignment="1"/>
    <xf numFmtId="3" fontId="9" fillId="0" borderId="0" xfId="0" applyNumberFormat="1" applyFont="1"/>
    <xf numFmtId="0" fontId="2" fillId="0" borderId="0" xfId="0" applyFont="1"/>
    <xf numFmtId="176" fontId="2" fillId="0" borderId="0" xfId="1" applyNumberFormat="1" applyFont="1"/>
    <xf numFmtId="0" fontId="2" fillId="0" borderId="0" xfId="0" applyFont="1" applyAlignment="1">
      <alignment horizontal="center"/>
    </xf>
    <xf numFmtId="0" fontId="10" fillId="0" borderId="0" xfId="0" applyFont="1"/>
    <xf numFmtId="0" fontId="11" fillId="0" borderId="0" xfId="0" applyFont="1"/>
    <xf numFmtId="177" fontId="0" fillId="0" borderId="0" xfId="0" applyNumberFormat="1"/>
    <xf numFmtId="2" fontId="0" fillId="2" borderId="0" xfId="0" applyNumberFormat="1" applyFill="1"/>
    <xf numFmtId="2" fontId="0" fillId="3" borderId="0" xfId="0" applyNumberFormat="1" applyFill="1"/>
    <xf numFmtId="2" fontId="0" fillId="4" borderId="0" xfId="0" applyNumberFormat="1" applyFill="1"/>
    <xf numFmtId="0" fontId="0" fillId="2" borderId="0" xfId="0" applyFill="1" applyAlignment="1">
      <alignment horizontal="left" vertical="center"/>
    </xf>
    <xf numFmtId="2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3" fontId="0" fillId="0" borderId="0" xfId="0" applyNumberFormat="1" applyAlignment="1">
      <alignment horizontal="center"/>
    </xf>
    <xf numFmtId="16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178" fontId="0" fillId="0" borderId="0" xfId="0" applyNumberFormat="1"/>
    <xf numFmtId="0" fontId="12" fillId="0" borderId="0" xfId="0" applyFont="1" applyFill="1" applyBorder="1"/>
    <xf numFmtId="3" fontId="12" fillId="0" borderId="0" xfId="0" applyNumberFormat="1" applyFont="1" applyFill="1" applyBorder="1"/>
  </cellXfs>
  <cellStyles count="4">
    <cellStyle name="Komma" xfId="1" builtinId="3"/>
    <cellStyle name="Link" xfId="3" builtinId="8"/>
    <cellStyle name="Prozent" xfId="2" builtinId="5"/>
    <cellStyle name="Standard" xfId="0" builtinId="0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Mobilität!$C$1</c:f>
              <c:strCache>
                <c:ptCount val="1"/>
                <c:pt idx="0">
                  <c:v>WiSe 19/20 [%] UMFRAGE Erstsemester (n=716)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Mobilität!$A$2:$A$7</c:f>
              <c:strCache>
                <c:ptCount val="6"/>
                <c:pt idx="0">
                  <c:v>Am Studienort (0-5 km)</c:v>
                </c:pt>
                <c:pt idx="1">
                  <c:v>5-20 km</c:v>
                </c:pt>
                <c:pt idx="2">
                  <c:v>20-50 km</c:v>
                </c:pt>
                <c:pt idx="3">
                  <c:v>50-100 km</c:v>
                </c:pt>
                <c:pt idx="4">
                  <c:v>100-300 km</c:v>
                </c:pt>
                <c:pt idx="5">
                  <c:v>&gt;300km</c:v>
                </c:pt>
              </c:strCache>
            </c:strRef>
          </c:cat>
          <c:val>
            <c:numRef>
              <c:f>Mobilität!$C$2:$C$7</c:f>
              <c:numCache>
                <c:formatCode>0.0</c:formatCode>
                <c:ptCount val="6"/>
                <c:pt idx="0" formatCode="0.0\ &quot;%&quot;">
                  <c:v>60.055865921787714</c:v>
                </c:pt>
                <c:pt idx="1">
                  <c:v>9.3375897845171565</c:v>
                </c:pt>
                <c:pt idx="2">
                  <c:v>14.006384676775737</c:v>
                </c:pt>
                <c:pt idx="3">
                  <c:v>9.164671455174247</c:v>
                </c:pt>
                <c:pt idx="4">
                  <c:v>5.1875498802873095</c:v>
                </c:pt>
                <c:pt idx="5">
                  <c:v>2.2479382814578339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D9-4730-B2C0-0F70EF46FC09}"/>
            </c:ext>
          </c:extLst>
        </c:ser>
        <c:ser>
          <c:idx val="1"/>
          <c:order val="1"/>
          <c:tx>
            <c:strRef>
              <c:f>Mobilität!$D$1</c:f>
              <c:strCache>
                <c:ptCount val="1"/>
                <c:pt idx="0">
                  <c:v>WiSe 20/21 [%] UMFRAGE Erstsemester (n=364)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Mobilität!$A$2:$A$7</c:f>
              <c:strCache>
                <c:ptCount val="6"/>
                <c:pt idx="0">
                  <c:v>Am Studienort (0-5 km)</c:v>
                </c:pt>
                <c:pt idx="1">
                  <c:v>5-20 km</c:v>
                </c:pt>
                <c:pt idx="2">
                  <c:v>20-50 km</c:v>
                </c:pt>
                <c:pt idx="3">
                  <c:v>50-100 km</c:v>
                </c:pt>
                <c:pt idx="4">
                  <c:v>100-300 km</c:v>
                </c:pt>
                <c:pt idx="5">
                  <c:v>&gt;300km</c:v>
                </c:pt>
              </c:strCache>
            </c:strRef>
          </c:cat>
          <c:val>
            <c:numRef>
              <c:f>Mobilität!$D$2:$D$7</c:f>
              <c:numCache>
                <c:formatCode>0.0</c:formatCode>
                <c:ptCount val="6"/>
                <c:pt idx="0">
                  <c:v>44.230769230769226</c:v>
                </c:pt>
                <c:pt idx="1">
                  <c:v>9.4068582020389258</c:v>
                </c:pt>
                <c:pt idx="2">
                  <c:v>15.678097003398211</c:v>
                </c:pt>
                <c:pt idx="3">
                  <c:v>12.094531974050048</c:v>
                </c:pt>
                <c:pt idx="4">
                  <c:v>14.334260117392649</c:v>
                </c:pt>
                <c:pt idx="5">
                  <c:v>4.2554834723509432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D9-4730-B2C0-0F70EF46FC09}"/>
            </c:ext>
          </c:extLst>
        </c:ser>
        <c:ser>
          <c:idx val="2"/>
          <c:order val="2"/>
          <c:tx>
            <c:strRef>
              <c:f>Mobilität!$E$1</c:f>
              <c:strCache>
                <c:ptCount val="1"/>
                <c:pt idx="0">
                  <c:v>WiSe 21/22 [%] UMFRAGE Erstsemester (n=461)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Mobilität!$A$2:$A$7</c:f>
              <c:strCache>
                <c:ptCount val="6"/>
                <c:pt idx="0">
                  <c:v>Am Studienort (0-5 km)</c:v>
                </c:pt>
                <c:pt idx="1">
                  <c:v>5-20 km</c:v>
                </c:pt>
                <c:pt idx="2">
                  <c:v>20-50 km</c:v>
                </c:pt>
                <c:pt idx="3">
                  <c:v>50-100 km</c:v>
                </c:pt>
                <c:pt idx="4">
                  <c:v>100-300 km</c:v>
                </c:pt>
                <c:pt idx="5">
                  <c:v>&gt;300km</c:v>
                </c:pt>
              </c:strCache>
            </c:strRef>
          </c:cat>
          <c:val>
            <c:numRef>
              <c:f>Mobilität!$E$2:$E$7</c:f>
              <c:numCache>
                <c:formatCode>0.0</c:formatCode>
                <c:ptCount val="6"/>
                <c:pt idx="0">
                  <c:v>51.193058568329718</c:v>
                </c:pt>
                <c:pt idx="1">
                  <c:v>10.773438576890431</c:v>
                </c:pt>
                <c:pt idx="2">
                  <c:v>18.282198797147398</c:v>
                </c:pt>
                <c:pt idx="3">
                  <c:v>11.426374248217122</c:v>
                </c:pt>
                <c:pt idx="4">
                  <c:v>7.0190584667619467</c:v>
                </c:pt>
                <c:pt idx="5">
                  <c:v>1.3058713426533854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D9-4730-B2C0-0F70EF46FC09}"/>
            </c:ext>
          </c:extLst>
        </c:ser>
        <c:ser>
          <c:idx val="3"/>
          <c:order val="3"/>
          <c:tx>
            <c:strRef>
              <c:f>Mobilität!$F$1</c:f>
              <c:strCache>
                <c:ptCount val="1"/>
                <c:pt idx="0">
                  <c:v>WiSe 22/23 [%] UMFRAGE Erstsemester (n=564)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Mobilität!$A$2:$A$7</c:f>
              <c:strCache>
                <c:ptCount val="6"/>
                <c:pt idx="0">
                  <c:v>Am Studienort (0-5 km)</c:v>
                </c:pt>
                <c:pt idx="1">
                  <c:v>5-20 km</c:v>
                </c:pt>
                <c:pt idx="2">
                  <c:v>20-50 km</c:v>
                </c:pt>
                <c:pt idx="3">
                  <c:v>50-100 km</c:v>
                </c:pt>
                <c:pt idx="4">
                  <c:v>100-300 km</c:v>
                </c:pt>
                <c:pt idx="5">
                  <c:v>&gt;300km</c:v>
                </c:pt>
              </c:strCache>
            </c:strRef>
          </c:cat>
          <c:val>
            <c:numRef>
              <c:f>Mobilität!$F$2:$F$7</c:f>
              <c:numCache>
                <c:formatCode>0.0</c:formatCode>
                <c:ptCount val="6"/>
                <c:pt idx="0">
                  <c:v>60.815602836879435</c:v>
                </c:pt>
                <c:pt idx="1">
                  <c:v>6.0283687943262407</c:v>
                </c:pt>
                <c:pt idx="2">
                  <c:v>20.390070921985814</c:v>
                </c:pt>
                <c:pt idx="3">
                  <c:v>10.106382978723403</c:v>
                </c:pt>
                <c:pt idx="4">
                  <c:v>2.4822695035460987</c:v>
                </c:pt>
                <c:pt idx="5">
                  <c:v>0.17730496453900707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D9-4730-B2C0-0F70EF46FC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8178895"/>
        <c:axId val="698150223"/>
      </c:barChart>
      <c:catAx>
        <c:axId val="6981788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0223"/>
        <c:crosses val="autoZero"/>
        <c:auto val="1"/>
        <c:lblAlgn val="ctr"/>
        <c:lblOffset val="100"/>
        <c:noMultiLvlLbl val="0"/>
      </c:catAx>
      <c:valAx>
        <c:axId val="6981502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&quot;%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788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Gesamtemissionen!$A$7</c:f>
              <c:strCache>
                <c:ptCount val="1"/>
                <c:pt idx="0">
                  <c:v>Gesamtemissionen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Gesamtemissionen!$B$7:$F$7</c:f>
              <c:numCache>
                <c:formatCode>#,##0" kg"</c:formatCode>
                <c:ptCount val="5"/>
                <c:pt idx="0">
                  <c:v>2575649.4429830797</c:v>
                </c:pt>
                <c:pt idx="1">
                  <c:v>4529478.2773729758</c:v>
                </c:pt>
                <c:pt idx="2">
                  <c:v>6146152.6722594453</c:v>
                </c:pt>
                <c:pt idx="3">
                  <c:v>5069402.4819485573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87-4569-B159-B2415850A3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</c:f>
              <c:strCache>
                <c:ptCount val="1"/>
                <c:pt idx="0">
                  <c:v>Energie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Gesamtemissionen!$B$2:$E$2</c:f>
              <c:numCache>
                <c:formatCode>#,##0" kg"</c:formatCode>
                <c:ptCount val="4"/>
                <c:pt idx="0">
                  <c:v>1535275.9121042881</c:v>
                </c:pt>
                <c:pt idx="1">
                  <c:v>1822476.6262411361</c:v>
                </c:pt>
                <c:pt idx="2">
                  <c:v>1688563.6564439039</c:v>
                </c:pt>
                <c:pt idx="3">
                  <c:v>1462317.2031242081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28-4CB7-B9A0-606AAFFC1C7D}"/>
            </c:ext>
          </c:extLst>
        </c:ser>
        <c:ser>
          <c:idx val="1"/>
          <c:order val="1"/>
          <c:tx>
            <c:strRef>
              <c:f>Gesamtemissionen!$A$3</c:f>
              <c:strCache>
                <c:ptCount val="1"/>
                <c:pt idx="0">
                  <c:v>Mobilität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Gesamtemissionen!$B$3:$E$3</c:f>
              <c:numCache>
                <c:formatCode>#,##0" kg"</c:formatCode>
                <c:ptCount val="4"/>
                <c:pt idx="0">
                  <c:v>869878.20291153248</c:v>
                </c:pt>
                <c:pt idx="1">
                  <c:v>2539492.8690720457</c:v>
                </c:pt>
                <c:pt idx="2">
                  <c:v>4464475.9366978751</c:v>
                </c:pt>
                <c:pt idx="3">
                  <c:v>3559099.8948205081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28-4CB7-B9A0-606AAFFC1C7D}"/>
            </c:ext>
          </c:extLst>
        </c:ser>
        <c:ser>
          <c:idx val="2"/>
          <c:order val="2"/>
          <c:tx>
            <c:strRef>
              <c:f>Gesamtemissionen!$A$4</c:f>
              <c:strCache>
                <c:ptCount val="1"/>
                <c:pt idx="0">
                  <c:v>Beschaffungen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Gesamtemissionen!$B$4:$E$4</c:f>
              <c:numCache>
                <c:formatCode>#,##0" kg"</c:formatCode>
                <c:ptCount val="4"/>
                <c:pt idx="0">
                  <c:v>4386.9566400000003</c:v>
                </c:pt>
                <c:pt idx="1">
                  <c:v>2179.6698000000001</c:v>
                </c:pt>
                <c:pt idx="2">
                  <c:v>17126.425879999999</c:v>
                </c:pt>
                <c:pt idx="3">
                  <c:v>69429.265732465356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F28-4CB7-B9A0-606AAFFC1C7D}"/>
            </c:ext>
          </c:extLst>
        </c:ser>
        <c:ser>
          <c:idx val="3"/>
          <c:order val="3"/>
          <c:tx>
            <c:strRef>
              <c:f>Gesamtemissionen!$A$5</c:f>
              <c:strCache>
                <c:ptCount val="1"/>
                <c:pt idx="0">
                  <c:v>Entsorgung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Gesamtemissionen!$B$5:$E$5</c:f>
              <c:numCache>
                <c:formatCode>#,##0" kg"</c:formatCode>
                <c:ptCount val="4"/>
                <c:pt idx="0">
                  <c:v>166108.37132725891</c:v>
                </c:pt>
                <c:pt idx="1">
                  <c:v>165329.11225979429</c:v>
                </c:pt>
                <c:pt idx="2">
                  <c:v>-24013.346762333666</c:v>
                </c:pt>
                <c:pt idx="3">
                  <c:v>-21443.881728624285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F28-4CB7-B9A0-606AAFFC1C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Gesamtemissionen!$A$21</c:f>
              <c:strCache>
                <c:ptCount val="1"/>
                <c:pt idx="0">
                  <c:v>THG-Emssionen pro Mitarbeitende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Gesamtemissionen!$B$21:$F$21</c:f>
              <c:numCache>
                <c:formatCode>#,##0" kg"</c:formatCode>
                <c:ptCount val="5"/>
                <c:pt idx="0">
                  <c:v>5574.99879433567</c:v>
                </c:pt>
                <c:pt idx="1">
                  <c:v>9616.7267035519653</c:v>
                </c:pt>
                <c:pt idx="2">
                  <c:v>13332.218378003136</c:v>
                </c:pt>
                <c:pt idx="3">
                  <c:v>10901.940821394746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2B-40FF-B326-2995BDDC08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Gesamtemissionen!$A$23</c:f>
              <c:strCache>
                <c:ptCount val="1"/>
                <c:pt idx="0">
                  <c:v>THG-Emssionen pro Hochschulangehörigen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Gesamtemissionen!$B$23:$F$23</c:f>
              <c:numCache>
                <c:formatCode>#,##0" kg"</c:formatCode>
                <c:ptCount val="5"/>
                <c:pt idx="0">
                  <c:v>559.07302864837845</c:v>
                </c:pt>
                <c:pt idx="1">
                  <c:v>961.87689050179995</c:v>
                </c:pt>
                <c:pt idx="2">
                  <c:v>1364.9017704329215</c:v>
                </c:pt>
                <c:pt idx="3">
                  <c:v>1095.3765086319268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51-4985-B667-F6EE3F4E37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Gesamtemissionen!$A$22</c:f>
              <c:strCache>
                <c:ptCount val="1"/>
                <c:pt idx="0">
                  <c:v>THG-Emssionen pro Studierenden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Gesamtemissionen!$B$22:$F$22</c:f>
              <c:numCache>
                <c:formatCode>#,##0" kg"</c:formatCode>
                <c:ptCount val="5"/>
                <c:pt idx="0">
                  <c:v>621.38707912740165</c:v>
                </c:pt>
                <c:pt idx="1">
                  <c:v>1068.7773188704521</c:v>
                </c:pt>
                <c:pt idx="2">
                  <c:v>1520.5721603808622</c:v>
                </c:pt>
                <c:pt idx="3">
                  <c:v>1217.7281964805566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EB-4141-B011-215FAC83BE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Gesamtemissionen!$A$24</c:f>
              <c:strCache>
                <c:ptCount val="1"/>
                <c:pt idx="0">
                  <c:v>THG-Emissionen pro Hochschuleinkommen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Gesamtemissionen!$B$24:$F$24</c:f>
              <c:numCache>
                <c:formatCode>#,##0.000" kg"</c:formatCode>
                <c:ptCount val="5"/>
                <c:pt idx="0">
                  <c:v>4.80678755527899E-2</c:v>
                </c:pt>
                <c:pt idx="1">
                  <c:v>8.1146311260773499E-2</c:v>
                </c:pt>
                <c:pt idx="2">
                  <c:v>0.11360725826727255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94-4DB3-8AE8-D99419B2DA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Gesamtemissionen!$A$25</c:f>
              <c:strCache>
                <c:ptCount val="1"/>
                <c:pt idx="0">
                  <c:v>THG-Emissionen pro Hochschulausgaben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Gesamtemissionen!$B$25:$F$25</c:f>
              <c:numCache>
                <c:formatCode>#,##0.000" kg"</c:formatCode>
                <c:ptCount val="5"/>
                <c:pt idx="0">
                  <c:v>4.8639439032997195E-2</c:v>
                </c:pt>
                <c:pt idx="1">
                  <c:v>8.277152801959152E-2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72-4F05-8189-6091D98C8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Gesamtemissionen!$A$27</c:f>
              <c:strCache>
                <c:ptCount val="1"/>
                <c:pt idx="0">
                  <c:v>THG-Emissionen pro pro Bruttoraumfläche [m²]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Gesamtemissionen!$B$27:$F$27</c:f>
              <c:numCache>
                <c:formatCode>#,##0.0" kg"</c:formatCode>
                <c:ptCount val="5"/>
                <c:pt idx="0">
                  <c:v>41.433802148916229</c:v>
                </c:pt>
                <c:pt idx="1">
                  <c:v>72.864538027009246</c:v>
                </c:pt>
                <c:pt idx="2">
                  <c:v>98.871558197954499</c:v>
                </c:pt>
                <c:pt idx="3">
                  <c:v>81.550158163997196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7-4F87-9F23-23A686474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41716703"/>
        <c:axId val="698155215"/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Gesamtemissionen!$A$32</c:f>
              <c:strCache>
                <c:ptCount val="1"/>
                <c:pt idx="0">
                  <c:v>SCOPE 1 Emssionen pro Mitarbeitende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Gesamtemissionen!$B$32:$F$32</c:f>
              <c:numCache>
                <c:formatCode>#,##0" kg"</c:formatCode>
                <c:ptCount val="5"/>
                <c:pt idx="0">
                  <c:v>2329.1063923418183</c:v>
                </c:pt>
                <c:pt idx="1">
                  <c:v>2611.5016599240766</c:v>
                </c:pt>
                <c:pt idx="2">
                  <c:v>2300.8240220376574</c:v>
                </c:pt>
                <c:pt idx="3">
                  <c:v>2095.5369160473551</c:v>
                </c:pt>
                <c:pt idx="4">
                  <c:v>1700.435255913962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58-4C86-8928-5D873FC5B4DB}"/>
            </c:ext>
          </c:extLst>
        </c:ser>
        <c:ser>
          <c:idx val="1"/>
          <c:order val="1"/>
          <c:tx>
            <c:strRef>
              <c:f>Gesamtemissionen!$A$40</c:f>
              <c:strCache>
                <c:ptCount val="1"/>
                <c:pt idx="0">
                  <c:v>SCOPE 2 Emssionen pro Mitarbeitende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Gesamtemissionen!$B$40:$F$40</c:f>
              <c:numCache>
                <c:formatCode>#,##0" kg"</c:formatCode>
                <c:ptCount val="5"/>
                <c:pt idx="0">
                  <c:v>597.26164285714287</c:v>
                </c:pt>
                <c:pt idx="1">
                  <c:v>800.46450106157124</c:v>
                </c:pt>
                <c:pt idx="2">
                  <c:v>957.59040347071584</c:v>
                </c:pt>
                <c:pt idx="3">
                  <c:v>711.94843148387099</c:v>
                </c:pt>
                <c:pt idx="4">
                  <c:v>572.08068716129026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58-4C86-8928-5D873FC5B4DB}"/>
            </c:ext>
          </c:extLst>
        </c:ser>
        <c:ser>
          <c:idx val="2"/>
          <c:order val="2"/>
          <c:tx>
            <c:strRef>
              <c:f>Gesamtemissionen!$A$48</c:f>
              <c:strCache>
                <c:ptCount val="1"/>
                <c:pt idx="0">
                  <c:v>SCOPE 3 Emssionen pro Mitarbeitende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Gesamtemissionen!$B$1:$E$1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Gesamtemissionen!$B$48:$F$48</c:f>
              <c:numCache>
                <c:formatCode>#,##0" kg"</c:formatCode>
                <c:ptCount val="5"/>
                <c:pt idx="0">
                  <c:v>2648.630759136709</c:v>
                </c:pt>
                <c:pt idx="1">
                  <c:v>7005.2250436278891</c:v>
                </c:pt>
                <c:pt idx="2">
                  <c:v>10073.803952494762</c:v>
                </c:pt>
                <c:pt idx="3">
                  <c:v>8094.4554738635206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58-4C86-8928-5D873FC5B4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152187226596675"/>
          <c:y val="2.1989647127442401E-2"/>
          <c:w val="0.84140069991251099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Gesamtemissionen!$A$33</c:f>
              <c:strCache>
                <c:ptCount val="1"/>
                <c:pt idx="0">
                  <c:v>SCOPE 1 Emssionen pro Studierenden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Gesamtemissionen!$B$33:$F$33</c:f>
              <c:numCache>
                <c:formatCode>#,##0" kg"</c:formatCode>
                <c:ptCount val="5"/>
                <c:pt idx="0">
                  <c:v>259.6012432477491</c:v>
                </c:pt>
                <c:pt idx="1">
                  <c:v>290.23531897693249</c:v>
                </c:pt>
                <c:pt idx="2">
                  <c:v>262.41461508148444</c:v>
                </c:pt>
                <c:pt idx="3">
                  <c:v>234.06789958251744</c:v>
                </c:pt>
                <c:pt idx="4">
                  <c:v>189.93571799183096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1A-4DD1-B83F-0FB72C854B76}"/>
            </c:ext>
          </c:extLst>
        </c:ser>
        <c:ser>
          <c:idx val="1"/>
          <c:order val="1"/>
          <c:tx>
            <c:strRef>
              <c:f>Gesamtemissionen!$A$41</c:f>
              <c:strCache>
                <c:ptCount val="1"/>
                <c:pt idx="0">
                  <c:v>SCOPE 2 Emssionen pro Studierenden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Gesamtemissionen!$B$41:$F$41</c:f>
              <c:numCache>
                <c:formatCode>#,##0" kg"</c:formatCode>
                <c:ptCount val="5"/>
                <c:pt idx="0">
                  <c:v>66.570537756332939</c:v>
                </c:pt>
                <c:pt idx="1">
                  <c:v>88.961486550259565</c:v>
                </c:pt>
                <c:pt idx="2">
                  <c:v>109.21553092528451</c:v>
                </c:pt>
                <c:pt idx="3">
                  <c:v>79.523425568099924</c:v>
                </c:pt>
                <c:pt idx="4">
                  <c:v>63.900437071823205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1A-4DD1-B83F-0FB72C854B76}"/>
            </c:ext>
          </c:extLst>
        </c:ser>
        <c:ser>
          <c:idx val="2"/>
          <c:order val="2"/>
          <c:tx>
            <c:strRef>
              <c:f>Gesamtemissionen!$A$49</c:f>
              <c:strCache>
                <c:ptCount val="1"/>
                <c:pt idx="0">
                  <c:v>SCOPE 3 Emssionen pro Studierenden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Gesamtemissionen!$B$49:$F$49</c:f>
              <c:numCache>
                <c:formatCode>#,##0" kg"</c:formatCode>
                <c:ptCount val="5"/>
                <c:pt idx="0">
                  <c:v>295.21529812331954</c:v>
                </c:pt>
                <c:pt idx="1">
                  <c:v>778.54199989351957</c:v>
                </c:pt>
                <c:pt idx="2">
                  <c:v>1148.9420143740933</c:v>
                </c:pt>
                <c:pt idx="3">
                  <c:v>904.13687132993925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1A-4DD1-B83F-0FB72C854B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263298337707787"/>
          <c:y val="2.6619276757072034E-2"/>
          <c:w val="0.64973403324584433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Gesamtemissionen!$A$34</c:f>
              <c:strCache>
                <c:ptCount val="1"/>
                <c:pt idx="0">
                  <c:v>SCOPE 1 Emssionen pro Hochschulangehörigen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Gesamtemissionen!$B$34:$F$34</c:f>
              <c:numCache>
                <c:formatCode>#,##0" kg"</c:formatCode>
                <c:ptCount val="5"/>
                <c:pt idx="0">
                  <c:v>233.56786482785327</c:v>
                </c:pt>
                <c:pt idx="1">
                  <c:v>261.20562366197493</c:v>
                </c:pt>
                <c:pt idx="2">
                  <c:v>235.54960563165892</c:v>
                </c:pt>
                <c:pt idx="3">
                  <c:v>210.54984139196631</c:v>
                </c:pt>
                <c:pt idx="4">
                  <c:v>170.85185695764741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E7-4DB9-823A-09AABE8CA385}"/>
            </c:ext>
          </c:extLst>
        </c:ser>
        <c:ser>
          <c:idx val="1"/>
          <c:order val="1"/>
          <c:tx>
            <c:strRef>
              <c:f>Gesamtemissionen!$A$42</c:f>
              <c:strCache>
                <c:ptCount val="1"/>
                <c:pt idx="0">
                  <c:v>SCOPE 2 Emssionen pro Hochschulangehörigen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Gesamtemissionen!$B$42:$F$42</c:f>
              <c:numCache>
                <c:formatCode>#,##0" kg"</c:formatCode>
                <c:ptCount val="5"/>
                <c:pt idx="0">
                  <c:v>59.894699153462128</c:v>
                </c:pt>
                <c:pt idx="1">
                  <c:v>80.063448715226173</c:v>
                </c:pt>
                <c:pt idx="2">
                  <c:v>98.034460581834324</c:v>
                </c:pt>
                <c:pt idx="3">
                  <c:v>71.533280172860842</c:v>
                </c:pt>
                <c:pt idx="4">
                  <c:v>57.480017184528954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E7-4DB9-823A-09AABE8CA385}"/>
            </c:ext>
          </c:extLst>
        </c:ser>
        <c:ser>
          <c:idx val="2"/>
          <c:order val="2"/>
          <c:tx>
            <c:strRef>
              <c:f>Gesamtemissionen!$A$50</c:f>
              <c:strCache>
                <c:ptCount val="1"/>
                <c:pt idx="0">
                  <c:v>SCOPE 3 Emssionen pro Hochschulangehörigen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Gesamtemissionen!$B$50:$F$50</c:f>
              <c:numCache>
                <c:formatCode>#,##0" kg"</c:formatCode>
                <c:ptCount val="5"/>
                <c:pt idx="0">
                  <c:v>265.61046466706307</c:v>
                </c:pt>
                <c:pt idx="1">
                  <c:v>700.67126683982497</c:v>
                </c:pt>
                <c:pt idx="2">
                  <c:v>1031.3177042194282</c:v>
                </c:pt>
                <c:pt idx="3">
                  <c:v>813.29338706709962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E7-4DB9-823A-09AABE8CA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263298337707787"/>
          <c:y val="2.6619276757072034E-2"/>
          <c:w val="0.64973403324584433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Gesamtemissionen!$A$35</c:f>
              <c:strCache>
                <c:ptCount val="1"/>
                <c:pt idx="0">
                  <c:v>SCOPE 1 Emissionen pro Hochschuleinkommen [T€]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Gesamtemissionen!$B$35:$F$35</c:f>
              <c:numCache>
                <c:formatCode>#,##0.0" kg"</c:formatCode>
                <c:ptCount val="5"/>
                <c:pt idx="0">
                  <c:v>20.081653888435469</c:v>
                </c:pt>
                <c:pt idx="1">
                  <c:v>22.035951845855703</c:v>
                </c:pt>
                <c:pt idx="2">
                  <c:v>19.605912646198892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23-4B8E-933A-AD142A9DAE3F}"/>
            </c:ext>
          </c:extLst>
        </c:ser>
        <c:ser>
          <c:idx val="1"/>
          <c:order val="1"/>
          <c:tx>
            <c:strRef>
              <c:f>Gesamtemissionen!$A$43</c:f>
              <c:strCache>
                <c:ptCount val="1"/>
                <c:pt idx="0">
                  <c:v>SCOPE 2 Emissionen pro Hochschuleinkommen [T€]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Gesamtemissionen!$B$43:$F$43</c:f>
              <c:numCache>
                <c:formatCode>#,##0.0" kg"</c:formatCode>
                <c:ptCount val="5"/>
                <c:pt idx="0">
                  <c:v>5.1496151623353015</c:v>
                </c:pt>
                <c:pt idx="1">
                  <c:v>6.7543503687539328</c:v>
                </c:pt>
                <c:pt idx="2">
                  <c:v>8.1598738632162657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23-4B8E-933A-AD142A9DAE3F}"/>
            </c:ext>
          </c:extLst>
        </c:ser>
        <c:ser>
          <c:idx val="2"/>
          <c:order val="2"/>
          <c:tx>
            <c:strRef>
              <c:f>Gesamtemissionen!$A$51</c:f>
              <c:strCache>
                <c:ptCount val="1"/>
                <c:pt idx="0">
                  <c:v>SCOPE 3 Emissionen pro Hochschuleinkommen [T€]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Gesamtemissionen!$B$51:$F$51</c:f>
              <c:numCache>
                <c:formatCode>#,##0.0" kg"</c:formatCode>
                <c:ptCount val="5"/>
                <c:pt idx="0">
                  <c:v>22.836606502019126</c:v>
                </c:pt>
                <c:pt idx="1">
                  <c:v>59.110359414917795</c:v>
                </c:pt>
                <c:pt idx="2">
                  <c:v>85.841471757857391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423-4B8E-933A-AD142A9DA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152187226596675"/>
          <c:y val="2.1989647127442401E-2"/>
          <c:w val="0.84140069991251099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Gesamtemissionen!$A$36</c:f>
              <c:strCache>
                <c:ptCount val="1"/>
                <c:pt idx="0">
                  <c:v>SCOPE 1 Emissionen pro Hochschulausgaben [T€]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Gesamtemissionen!$B$36:$F$36</c:f>
              <c:numCache>
                <c:formatCode>#,##0.0" kg"</c:formatCode>
                <c:ptCount val="5"/>
                <c:pt idx="0">
                  <c:v>20.320439976915438</c:v>
                </c:pt>
                <c:pt idx="1">
                  <c:v>22.477292896113692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47-4F2E-933B-4FD43D398017}"/>
            </c:ext>
          </c:extLst>
        </c:ser>
        <c:ser>
          <c:idx val="1"/>
          <c:order val="1"/>
          <c:tx>
            <c:strRef>
              <c:f>Gesamtemissionen!$A$44</c:f>
              <c:strCache>
                <c:ptCount val="1"/>
                <c:pt idx="0">
                  <c:v>SCOPE 2 Emissionen pro Hochschulausgaben [T€]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Gesamtemissionen!$B$44:$F$44</c:f>
              <c:numCache>
                <c:formatCode>#,##0.0" kg"</c:formatCode>
                <c:ptCount val="5"/>
                <c:pt idx="0">
                  <c:v>5.2108479904988867</c:v>
                </c:pt>
                <c:pt idx="1">
                  <c:v>6.8896280325648078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47-4F2E-933B-4FD43D398017}"/>
            </c:ext>
          </c:extLst>
        </c:ser>
        <c:ser>
          <c:idx val="2"/>
          <c:order val="2"/>
          <c:tx>
            <c:strRef>
              <c:f>Gesamtemissionen!$A$52</c:f>
              <c:strCache>
                <c:ptCount val="1"/>
                <c:pt idx="0">
                  <c:v>SCOPE 3 Emissionen pro Hochschulausgaben [T€]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Gesamtemissionen!$B$52:$F$52</c:f>
              <c:numCache>
                <c:formatCode>#,##0.0" kg"</c:formatCode>
                <c:ptCount val="5"/>
                <c:pt idx="0">
                  <c:v>23.10815106558287</c:v>
                </c:pt>
                <c:pt idx="1">
                  <c:v>60.294235123477819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B47-4F2E-933B-4FD43D3980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152187226596675"/>
          <c:y val="2.1989647127442401E-2"/>
          <c:w val="0.84140069991251099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66447944006999"/>
          <c:y val="0.17171296296296296"/>
          <c:w val="0.82977996500437445"/>
          <c:h val="0.738247666958296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Gesamtemissionen!$A$38</c:f>
              <c:strCache>
                <c:ptCount val="1"/>
                <c:pt idx="0">
                  <c:v>SCOPE 1 Emissionen pro Bruttoraumfläche [m²]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Gesamtemissionen!$B$38:$F$38</c:f>
              <c:numCache>
                <c:formatCode>#,##0.0" kg"</c:formatCode>
                <c:ptCount val="5"/>
                <c:pt idx="0">
                  <c:v>17.621917581218085</c:v>
                </c:pt>
                <c:pt idx="1">
                  <c:v>20.143413881143083</c:v>
                </c:pt>
                <c:pt idx="2">
                  <c:v>17.370254886909585</c:v>
                </c:pt>
                <c:pt idx="3">
                  <c:v>15.957693954801108</c:v>
                </c:pt>
                <c:pt idx="4">
                  <c:v>12.948960810965598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00-4600-A7E9-B73FB1442ECE}"/>
            </c:ext>
          </c:extLst>
        </c:ser>
        <c:ser>
          <c:idx val="1"/>
          <c:order val="1"/>
          <c:tx>
            <c:strRef>
              <c:f>Gesamtemissionen!$A$46</c:f>
              <c:strCache>
                <c:ptCount val="1"/>
                <c:pt idx="0">
                  <c:v>SCOPE 2 Emissionen pro Bruttoraumfläche [m²]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Gesamtemissionen!$B$46:$F$46</c:f>
              <c:numCache>
                <c:formatCode>#,##0.0" kg"</c:formatCode>
                <c:ptCount val="5"/>
                <c:pt idx="0">
                  <c:v>4.518855591765881</c:v>
                </c:pt>
                <c:pt idx="1">
                  <c:v>6.1742590439382283</c:v>
                </c:pt>
                <c:pt idx="2">
                  <c:v>7.2294053027201413</c:v>
                </c:pt>
                <c:pt idx="3">
                  <c:v>5.421548575078198</c:v>
                </c:pt>
                <c:pt idx="4">
                  <c:v>4.3564436652309908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00-4600-A7E9-B73FB1442ECE}"/>
            </c:ext>
          </c:extLst>
        </c:ser>
        <c:ser>
          <c:idx val="2"/>
          <c:order val="2"/>
          <c:tx>
            <c:strRef>
              <c:f>Gesamtemissionen!$A$54</c:f>
              <c:strCache>
                <c:ptCount val="1"/>
                <c:pt idx="0">
                  <c:v>SCOPE 3 Emissionen pro Bruttoraumfläche [m²]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Gesamtemissionen!$B$54:$F$54</c:f>
              <c:numCache>
                <c:formatCode>#,##0.0" kg"</c:formatCode>
                <c:ptCount val="5"/>
                <c:pt idx="0">
                  <c:v>20.039425031871339</c:v>
                </c:pt>
                <c:pt idx="1">
                  <c:v>54.03371920064091</c:v>
                </c:pt>
                <c:pt idx="2">
                  <c:v>76.052988259667643</c:v>
                </c:pt>
                <c:pt idx="3">
                  <c:v>61.639975031468111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00-4600-A7E9-B73FB1442E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6743599"/>
        <c:axId val="744418239"/>
      </c:barChart>
      <c:catAx>
        <c:axId val="69674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4418239"/>
        <c:crosses val="autoZero"/>
        <c:auto val="1"/>
        <c:lblAlgn val="ctr"/>
        <c:lblOffset val="100"/>
        <c:noMultiLvlLbl val="0"/>
      </c:catAx>
      <c:valAx>
        <c:axId val="744418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6743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152187226596675"/>
          <c:y val="2.1989647127442401E-2"/>
          <c:w val="0.84140069991251099"/>
          <c:h val="0.1493066491688539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9795922346442"/>
          <c:y val="0.14187728029416186"/>
          <c:w val="0.83928774639815273"/>
          <c:h val="0.70901863711806834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Gesamtemissionen!$AJ$68</c:f>
              <c:strCache>
                <c:ptCount val="1"/>
                <c:pt idx="0">
                  <c:v>Erdgas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Gesamtemissionen!$AA$69:$AA$72</c:f>
              <c:numCache>
                <c:formatCode>General</c:formatCode>
                <c:ptCount val="4"/>
                <c:pt idx="0">
                  <c:v>2023</c:v>
                </c:pt>
                <c:pt idx="1">
                  <c:v>2022</c:v>
                </c:pt>
                <c:pt idx="2">
                  <c:v>2021</c:v>
                </c:pt>
                <c:pt idx="3">
                  <c:v>2020</c:v>
                </c:pt>
              </c:numCache>
            </c:numRef>
          </c:cat>
          <c:val>
            <c:numRef>
              <c:f>Gesamtemissionen!$AJ$69:$AJ$72</c:f>
              <c:numCache>
                <c:formatCode>#,##0" t"</c:formatCode>
                <c:ptCount val="4"/>
                <c:pt idx="0">
                  <c:v>954.81113864472013</c:v>
                </c:pt>
                <c:pt idx="1">
                  <c:v>1049.22723015936</c:v>
                </c:pt>
                <c:pt idx="2">
                  <c:v>1230.0172818242399</c:v>
                </c:pt>
                <c:pt idx="3">
                  <c:v>1076.0471532619199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E8-4017-8E0E-202158D7B3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3464432"/>
        <c:axId val="1162414560"/>
      </c:barChart>
      <c:catAx>
        <c:axId val="6234644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62414560"/>
        <c:crosses val="autoZero"/>
        <c:auto val="1"/>
        <c:lblAlgn val="ctr"/>
        <c:lblOffset val="100"/>
        <c:noMultiLvlLbl val="0"/>
      </c:catAx>
      <c:valAx>
        <c:axId val="11624145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t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3464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1190478288428598E-3"/>
          <c:y val="0.49598779953397892"/>
          <c:w val="9.7761735613373757E-2"/>
          <c:h val="6.6512278053437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9795922346442"/>
          <c:y val="0.14187728029416186"/>
          <c:w val="0.83928774639815273"/>
          <c:h val="0.70901863711806834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Gesamtemissionen!$AQ$68</c:f>
              <c:strCache>
                <c:ptCount val="1"/>
                <c:pt idx="0">
                  <c:v>Beschaffungen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Gesamtemissionen!$AA$69:$AA$72</c:f>
              <c:numCache>
                <c:formatCode>General</c:formatCode>
                <c:ptCount val="4"/>
                <c:pt idx="0">
                  <c:v>2023</c:v>
                </c:pt>
                <c:pt idx="1">
                  <c:v>2022</c:v>
                </c:pt>
                <c:pt idx="2">
                  <c:v>2021</c:v>
                </c:pt>
                <c:pt idx="3">
                  <c:v>2020</c:v>
                </c:pt>
              </c:numCache>
            </c:numRef>
          </c:cat>
          <c:val>
            <c:numRef>
              <c:f>Gesamtemissionen!$AQ$69:$AQ$72</c:f>
              <c:numCache>
                <c:formatCode>#,##0" t"</c:formatCode>
                <c:ptCount val="4"/>
                <c:pt idx="0">
                  <c:v>58.116901732465351</c:v>
                </c:pt>
                <c:pt idx="1">
                  <c:v>17.126425880000003</c:v>
                </c:pt>
                <c:pt idx="2">
                  <c:v>2.1796698000000001</c:v>
                </c:pt>
                <c:pt idx="3">
                  <c:v>4.3869566400000002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4B-4292-BB35-4822FDE2E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3464432"/>
        <c:axId val="1162414560"/>
      </c:barChart>
      <c:catAx>
        <c:axId val="6234644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62414560"/>
        <c:crosses val="autoZero"/>
        <c:auto val="1"/>
        <c:lblAlgn val="ctr"/>
        <c:lblOffset val="100"/>
        <c:noMultiLvlLbl val="0"/>
      </c:catAx>
      <c:valAx>
        <c:axId val="11624145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t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3464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1190478288428598E-3"/>
          <c:y val="0.49598779953397892"/>
          <c:w val="9.7761735613373757E-2"/>
          <c:h val="6.6512278053437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Gesamtemissionen!$Z$86:$Z$91</c:f>
              <c:strCache>
                <c:ptCount val="6"/>
                <c:pt idx="0">
                  <c:v>Scope 1</c:v>
                </c:pt>
                <c:pt idx="1">
                  <c:v>Scope 2</c:v>
                </c:pt>
                <c:pt idx="2">
                  <c:v>Scope 3</c:v>
                </c:pt>
                <c:pt idx="3">
                  <c:v>Alltagsmobilität</c:v>
                </c:pt>
                <c:pt idx="4">
                  <c:v>Gebäudebestand</c:v>
                </c:pt>
                <c:pt idx="5">
                  <c:v>Dienstreisen</c:v>
                </c:pt>
              </c:strCache>
            </c:strRef>
          </c:cat>
          <c:val>
            <c:numRef>
              <c:f>Gesamtemissionen!$AA$86:$AA$91</c:f>
              <c:numCache>
                <c:formatCode>#,##0" kg"</c:formatCode>
                <c:ptCount val="6"/>
                <c:pt idx="0">
                  <c:v>974424.66596202005</c:v>
                </c:pt>
                <c:pt idx="1">
                  <c:v>331056.02064</c:v>
                </c:pt>
                <c:pt idx="2">
                  <c:v>440043.11937015341</c:v>
                </c:pt>
                <c:pt idx="3" formatCode="General">
                  <c:v>2252000</c:v>
                </c:pt>
                <c:pt idx="4" formatCode="General">
                  <c:v>464000</c:v>
                </c:pt>
                <c:pt idx="5">
                  <c:v>185824.255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17-4DEC-9B23-BBEA1643DE0E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Gesamtemissionen!$Z$86:$Z$91</c:f>
              <c:strCache>
                <c:ptCount val="6"/>
                <c:pt idx="0">
                  <c:v>Scope 1</c:v>
                </c:pt>
                <c:pt idx="1">
                  <c:v>Scope 2</c:v>
                </c:pt>
                <c:pt idx="2">
                  <c:v>Scope 3</c:v>
                </c:pt>
                <c:pt idx="3">
                  <c:v>Alltagsmobilität</c:v>
                </c:pt>
                <c:pt idx="4">
                  <c:v>Gebäudebestand</c:v>
                </c:pt>
                <c:pt idx="5">
                  <c:v>Dienstreisen</c:v>
                </c:pt>
              </c:strCache>
            </c:strRef>
          </c:cat>
          <c:val>
            <c:numRef>
              <c:f>Gesamtemissionen!$AB$86:$AB$91</c:f>
              <c:numCache>
                <c:formatCode>General</c:formatCode>
                <c:ptCount val="6"/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36-4287-BB6E-D1F0FDEF89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2130469264"/>
        <c:axId val="1975290528"/>
      </c:barChart>
      <c:catAx>
        <c:axId val="213046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975290528"/>
        <c:crosses val="autoZero"/>
        <c:auto val="1"/>
        <c:lblAlgn val="ctr"/>
        <c:lblOffset val="100"/>
        <c:noMultiLvlLbl val="0"/>
      </c:catAx>
      <c:valAx>
        <c:axId val="1975290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0469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Gesamtemissionen!$A$12</c:f>
              <c:strCache>
                <c:ptCount val="1"/>
                <c:pt idx="0">
                  <c:v>Scope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Gesamtemissionen!$B$12:$F$12</c:f>
              <c:numCache>
                <c:formatCode>#,##0" kg"</c:formatCode>
                <c:ptCount val="5"/>
                <c:pt idx="0">
                  <c:v>1076047.15326192</c:v>
                </c:pt>
                <c:pt idx="1">
                  <c:v>1230017.28182424</c:v>
                </c:pt>
                <c:pt idx="2">
                  <c:v>1060679.8741593601</c:v>
                </c:pt>
                <c:pt idx="3">
                  <c:v>974424.66596202005</c:v>
                </c:pt>
                <c:pt idx="4">
                  <c:v>790702.39399999229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26-46D6-930B-133833A04C16}"/>
            </c:ext>
          </c:extLst>
        </c:ser>
        <c:ser>
          <c:idx val="1"/>
          <c:order val="1"/>
          <c:tx>
            <c:strRef>
              <c:f>Gesamtemissionen!$A$13</c:f>
              <c:strCache>
                <c:ptCount val="1"/>
                <c:pt idx="0">
                  <c:v>Scope 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Gesamtemissionen!$B$1:$F$1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Gesamtemissionen!$B$13:$F$13</c:f>
              <c:numCache>
                <c:formatCode>#,##0" kg"</c:formatCode>
                <c:ptCount val="5"/>
                <c:pt idx="0">
                  <c:v>275934.87900000002</c:v>
                </c:pt>
                <c:pt idx="1">
                  <c:v>377018.78</c:v>
                </c:pt>
                <c:pt idx="2">
                  <c:v>441449.17599999998</c:v>
                </c:pt>
                <c:pt idx="3">
                  <c:v>331056.02064</c:v>
                </c:pt>
                <c:pt idx="4">
                  <c:v>266017.51952999999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26-46D6-930B-133833A04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741716703"/>
        <c:axId val="698155215"/>
        <c:extLst>
          <c:ext xmlns:c15="http://schemas.microsoft.com/office/drawing/2012/chart" uri="{02D57815-91ED-43cb-92C2-25804820EDAC}">
            <c15:filteredBarSeries>
              <c15:ser>
                <c:idx val="2"/>
                <c:order val="2"/>
                <c:tx>
                  <c:strRef>
                    <c:extLst>
                      <c:ext uri="{02D57815-91ED-43cb-92C2-25804820EDAC}">
                        <c15:formulaRef>
                          <c15:sqref>Gesamtemissionen!$A$14</c15:sqref>
                        </c15:formulaRef>
                      </c:ext>
                    </c:extLst>
                    <c:strCache>
                      <c:ptCount val="1"/>
                      <c:pt idx="0">
                        <c:v>Scope 3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numRef>
                    <c:extLst>
                      <c:ext uri="{02D57815-91ED-43cb-92C2-25804820EDAC}">
                        <c15:formulaRef>
                          <c15:sqref>Gesamtemissionen!$B$1:$F$1</c15:sqref>
                        </c15:formulaRef>
                      </c:ext>
                    </c:extLst>
                    <c:numCache>
                      <c:formatCode>General</c:formatCode>
                      <c:ptCount val="5"/>
                      <c:pt idx="0">
                        <c:v>2020</c:v>
                      </c:pt>
                      <c:pt idx="1">
                        <c:v>2021</c:v>
                      </c:pt>
                      <c:pt idx="2">
                        <c:v>2022</c:v>
                      </c:pt>
                      <c:pt idx="3">
                        <c:v>2023</c:v>
                      </c:pt>
                      <c:pt idx="4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Gesamtemissionen!$B$14:$F$14</c15:sqref>
                        </c15:formulaRef>
                      </c:ext>
                    </c:extLst>
                    <c:numCache>
                      <c:formatCode>#,##0" kg"</c:formatCode>
                      <c:ptCount val="5"/>
                      <c:pt idx="0">
                        <c:v>1223667.4107211595</c:v>
                      </c:pt>
                      <c:pt idx="1">
                        <c:v>3299460.9955487358</c:v>
                      </c:pt>
                      <c:pt idx="2">
                        <c:v>4644023.622100085</c:v>
                      </c:pt>
                      <c:pt idx="3">
                        <c:v>3763921.7953465371</c:v>
                      </c:pt>
                      <c:pt idx="4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8F26-46D6-930B-133833A04C16}"/>
                  </c:ext>
                </c:extLst>
              </c15:ser>
            </c15:filteredBarSeries>
          </c:ext>
        </c:extLst>
      </c:barChart>
      <c:catAx>
        <c:axId val="7417167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98155215"/>
        <c:crosses val="autoZero"/>
        <c:auto val="1"/>
        <c:lblAlgn val="ctr"/>
        <c:lblOffset val="100"/>
        <c:noMultiLvlLbl val="0"/>
      </c:catAx>
      <c:valAx>
        <c:axId val="69815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kg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417167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'Ziel Klimaneutral 2035'!$C$64</c:f>
              <c:strCache>
                <c:ptCount val="1"/>
                <c:pt idx="0">
                  <c:v>Ziel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'Ziel Klimaneutral 2035'!$A$65:$A$83</c:f>
              <c:numCache>
                <c:formatCode>General</c:formatCode>
                <c:ptCount val="19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  <c:pt idx="6">
                  <c:v>2023</c:v>
                </c:pt>
                <c:pt idx="7">
                  <c:v>2024</c:v>
                </c:pt>
                <c:pt idx="8">
                  <c:v>2025</c:v>
                </c:pt>
                <c:pt idx="9">
                  <c:v>2026</c:v>
                </c:pt>
                <c:pt idx="10">
                  <c:v>2027</c:v>
                </c:pt>
                <c:pt idx="11">
                  <c:v>2028</c:v>
                </c:pt>
                <c:pt idx="12">
                  <c:v>2029</c:v>
                </c:pt>
                <c:pt idx="13">
                  <c:v>2030</c:v>
                </c:pt>
                <c:pt idx="14">
                  <c:v>2031</c:v>
                </c:pt>
                <c:pt idx="15">
                  <c:v>2032</c:v>
                </c:pt>
                <c:pt idx="16">
                  <c:v>2033</c:v>
                </c:pt>
                <c:pt idx="17">
                  <c:v>2034</c:v>
                </c:pt>
                <c:pt idx="18">
                  <c:v>2035</c:v>
                </c:pt>
              </c:numCache>
            </c:numRef>
          </c:cat>
          <c:val>
            <c:numRef>
              <c:f>'Ziel Klimaneutral 2035'!$C$65:$C$83</c:f>
              <c:numCache>
                <c:formatCode>#,##0" t"</c:formatCode>
                <c:ptCount val="19"/>
                <c:pt idx="0">
                  <c:v>1752.7577619000003</c:v>
                </c:pt>
                <c:pt idx="1">
                  <c:v>1811.6747460000001</c:v>
                </c:pt>
                <c:pt idx="2">
                  <c:v>1570.62014836</c:v>
                </c:pt>
                <c:pt idx="3">
                  <c:v>1489.86926328</c:v>
                </c:pt>
                <c:pt idx="4">
                  <c:v>1641.96652842</c:v>
                </c:pt>
                <c:pt idx="5">
                  <c:v>1490.7474719100001</c:v>
                </c:pt>
                <c:pt idx="6">
                  <c:v>1251.3145692400001</c:v>
                </c:pt>
                <c:pt idx="7" formatCode="General">
                  <c:v>1189.3766589599836</c:v>
                </c:pt>
                <c:pt idx="8" formatCode="General">
                  <c:v>917.95325718996298</c:v>
                </c:pt>
                <c:pt idx="9" formatCode="General">
                  <c:v>710.88921106329155</c:v>
                </c:pt>
                <c:pt idx="10" formatCode="General">
                  <c:v>632.93228383024712</c:v>
                </c:pt>
                <c:pt idx="11" formatCode="General">
                  <c:v>555.29577025645506</c:v>
                </c:pt>
                <c:pt idx="12" formatCode="General">
                  <c:v>477.54691938772777</c:v>
                </c:pt>
                <c:pt idx="13" formatCode="General">
                  <c:v>399.25323263722237</c:v>
                </c:pt>
                <c:pt idx="14" formatCode="General">
                  <c:v>319.98246064484408</c:v>
                </c:pt>
                <c:pt idx="15" formatCode="General">
                  <c:v>239.30260017427869</c:v>
                </c:pt>
                <c:pt idx="16" formatCode="General">
                  <c:v>164.48728627700808</c:v>
                </c:pt>
                <c:pt idx="17" formatCode="General">
                  <c:v>92.387648918949083</c:v>
                </c:pt>
                <c:pt idx="18" formatCode="General">
                  <c:v>22.986088186520657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51B-4871-9602-904DD438B9BC}"/>
            </c:ext>
          </c:extLst>
        </c:ser>
        <c:ser>
          <c:idx val="2"/>
          <c:order val="1"/>
          <c:tx>
            <c:strRef>
              <c:f>'Ziel Klimaneutral 2035'!$B$64</c:f>
              <c:strCache>
                <c:ptCount val="1"/>
                <c:pt idx="0">
                  <c:v>Trend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'Ziel Klimaneutral 2035'!$B$65:$B$83</c:f>
              <c:numCache>
                <c:formatCode>#,##0" t"</c:formatCode>
                <c:ptCount val="19"/>
                <c:pt idx="0">
                  <c:v>1752.7577619000003</c:v>
                </c:pt>
                <c:pt idx="1">
                  <c:v>1811.6747460000001</c:v>
                </c:pt>
                <c:pt idx="2">
                  <c:v>1570.62014836</c:v>
                </c:pt>
                <c:pt idx="3">
                  <c:v>1489.86926328</c:v>
                </c:pt>
                <c:pt idx="4">
                  <c:v>1641.96652842</c:v>
                </c:pt>
                <c:pt idx="5">
                  <c:v>1490.7474719100001</c:v>
                </c:pt>
                <c:pt idx="6">
                  <c:v>1251.3145692400001</c:v>
                </c:pt>
                <c:pt idx="7">
                  <c:v>1165.542754343845</c:v>
                </c:pt>
                <c:pt idx="8">
                  <c:v>1146.869737670087</c:v>
                </c:pt>
                <c:pt idx="9">
                  <c:v>1133.6674404606183</c:v>
                </c:pt>
                <c:pt idx="10">
                  <c:v>1115.7272747655827</c:v>
                </c:pt>
                <c:pt idx="11">
                  <c:v>1093.0482352698509</c:v>
                </c:pt>
                <c:pt idx="12">
                  <c:v>1065.6293267114254</c:v>
                </c:pt>
                <c:pt idx="13">
                  <c:v>1033.4695637809332</c:v>
                </c:pt>
                <c:pt idx="14">
                  <c:v>1020.4551538207627</c:v>
                </c:pt>
                <c:pt idx="15">
                  <c:v>1005.7066754794198</c:v>
                </c:pt>
                <c:pt idx="16">
                  <c:v>991.05284556331253</c:v>
                </c:pt>
                <c:pt idx="17">
                  <c:v>976.49271758819214</c:v>
                </c:pt>
                <c:pt idx="18">
                  <c:v>962.02535453464509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51B-4871-9602-904DD438B9BC}"/>
            </c:ext>
          </c:extLst>
        </c:ser>
        <c:ser>
          <c:idx val="0"/>
          <c:order val="2"/>
          <c:tx>
            <c:strRef>
              <c:f>'Ziel Klimaneutral 2035'!$D$64</c:f>
              <c:strCache>
                <c:ptCount val="1"/>
                <c:pt idx="0">
                  <c:v>Real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'Ziel Klimaneutral 2035'!$A$65:$A$83</c:f>
              <c:numCache>
                <c:formatCode>General</c:formatCode>
                <c:ptCount val="19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  <c:pt idx="6">
                  <c:v>2023</c:v>
                </c:pt>
                <c:pt idx="7">
                  <c:v>2024</c:v>
                </c:pt>
                <c:pt idx="8">
                  <c:v>2025</c:v>
                </c:pt>
                <c:pt idx="9">
                  <c:v>2026</c:v>
                </c:pt>
                <c:pt idx="10">
                  <c:v>2027</c:v>
                </c:pt>
                <c:pt idx="11">
                  <c:v>2028</c:v>
                </c:pt>
                <c:pt idx="12">
                  <c:v>2029</c:v>
                </c:pt>
                <c:pt idx="13">
                  <c:v>2030</c:v>
                </c:pt>
                <c:pt idx="14">
                  <c:v>2031</c:v>
                </c:pt>
                <c:pt idx="15">
                  <c:v>2032</c:v>
                </c:pt>
                <c:pt idx="16">
                  <c:v>2033</c:v>
                </c:pt>
                <c:pt idx="17">
                  <c:v>2034</c:v>
                </c:pt>
                <c:pt idx="18">
                  <c:v>2035</c:v>
                </c:pt>
              </c:numCache>
            </c:numRef>
          </c:cat>
          <c:val>
            <c:numRef>
              <c:f>'Ziel Klimaneutral 2035'!$D$65:$D$71</c:f>
              <c:numCache>
                <c:formatCode>#,##0" t"</c:formatCode>
                <c:ptCount val="7"/>
                <c:pt idx="0">
                  <c:v>1752.7577619000003</c:v>
                </c:pt>
                <c:pt idx="1">
                  <c:v>1811.6747460000001</c:v>
                </c:pt>
                <c:pt idx="2">
                  <c:v>1351.98203226192</c:v>
                </c:pt>
                <c:pt idx="3">
                  <c:v>1489.86926328</c:v>
                </c:pt>
                <c:pt idx="4">
                  <c:v>1641.96652842</c:v>
                </c:pt>
                <c:pt idx="5">
                  <c:v>1490.7474719100001</c:v>
                </c:pt>
                <c:pt idx="6">
                  <c:v>1251.3145692400001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51B-4871-9602-904DD438B9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2007487"/>
        <c:axId val="282694687"/>
      </c:lineChart>
      <c:catAx>
        <c:axId val="9420074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82694687"/>
        <c:crosses val="autoZero"/>
        <c:auto val="1"/>
        <c:lblAlgn val="ctr"/>
        <c:lblOffset val="100"/>
        <c:noMultiLvlLbl val="0"/>
      </c:catAx>
      <c:valAx>
        <c:axId val="282694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&quot; t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420074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chart" Target="../charts/chart14.xml"/><Relationship Id="rId18" Type="http://schemas.openxmlformats.org/officeDocument/2006/relationships/chart" Target="../charts/chart19.xml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12" Type="http://schemas.openxmlformats.org/officeDocument/2006/relationships/chart" Target="../charts/chart13.xml"/><Relationship Id="rId17" Type="http://schemas.openxmlformats.org/officeDocument/2006/relationships/chart" Target="../charts/chart18.xml"/><Relationship Id="rId2" Type="http://schemas.openxmlformats.org/officeDocument/2006/relationships/chart" Target="../charts/chart3.xml"/><Relationship Id="rId16" Type="http://schemas.openxmlformats.org/officeDocument/2006/relationships/chart" Target="../charts/chart17.xml"/><Relationship Id="rId1" Type="http://schemas.openxmlformats.org/officeDocument/2006/relationships/chart" Target="../charts/chart2.xml"/><Relationship Id="rId6" Type="http://schemas.openxmlformats.org/officeDocument/2006/relationships/chart" Target="../charts/chart7.xml"/><Relationship Id="rId11" Type="http://schemas.openxmlformats.org/officeDocument/2006/relationships/chart" Target="../charts/chart12.xml"/><Relationship Id="rId5" Type="http://schemas.openxmlformats.org/officeDocument/2006/relationships/chart" Target="../charts/chart6.xml"/><Relationship Id="rId15" Type="http://schemas.openxmlformats.org/officeDocument/2006/relationships/chart" Target="../charts/chart16.xml"/><Relationship Id="rId10" Type="http://schemas.openxmlformats.org/officeDocument/2006/relationships/chart" Target="../charts/chart11.xml"/><Relationship Id="rId4" Type="http://schemas.openxmlformats.org/officeDocument/2006/relationships/chart" Target="../charts/chart5.xml"/><Relationship Id="rId9" Type="http://schemas.openxmlformats.org/officeDocument/2006/relationships/chart" Target="../charts/chart10.xml"/><Relationship Id="rId14" Type="http://schemas.openxmlformats.org/officeDocument/2006/relationships/chart" Target="../charts/chart15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690561</xdr:colOff>
      <xdr:row>16</xdr:row>
      <xdr:rowOff>100011</xdr:rowOff>
    </xdr:from>
    <xdr:to>
      <xdr:col>21</xdr:col>
      <xdr:colOff>19049</xdr:colOff>
      <xdr:row>37</xdr:row>
      <xdr:rowOff>180974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FC1504F-D843-4AA9-BBEA-8FD2F2367C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0</xdr:row>
      <xdr:rowOff>0</xdr:rowOff>
    </xdr:from>
    <xdr:to>
      <xdr:col>15</xdr:col>
      <xdr:colOff>266700</xdr:colOff>
      <xdr:row>14</xdr:row>
      <xdr:rowOff>76200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EF370AC-9F4A-4DB2-8139-82FDA06C523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276225</xdr:colOff>
      <xdr:row>0</xdr:row>
      <xdr:rowOff>0</xdr:rowOff>
    </xdr:from>
    <xdr:to>
      <xdr:col>27</xdr:col>
      <xdr:colOff>276225</xdr:colOff>
      <xdr:row>14</xdr:row>
      <xdr:rowOff>76200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B6612136-8C5D-4BBC-A5E2-6D77D5CE0E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295275</xdr:colOff>
      <xdr:row>43</xdr:row>
      <xdr:rowOff>76200</xdr:rowOff>
    </xdr:from>
    <xdr:to>
      <xdr:col>15</xdr:col>
      <xdr:colOff>295275</xdr:colOff>
      <xdr:row>57</xdr:row>
      <xdr:rowOff>152400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39D0F20C-7B12-49CC-8392-1D2E9AB68B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266700</xdr:colOff>
      <xdr:row>14</xdr:row>
      <xdr:rowOff>85725</xdr:rowOff>
    </xdr:from>
    <xdr:to>
      <xdr:col>15</xdr:col>
      <xdr:colOff>266700</xdr:colOff>
      <xdr:row>28</xdr:row>
      <xdr:rowOff>161925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C77D5EBE-060C-40F9-B2D1-3BC42D1217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285750</xdr:colOff>
      <xdr:row>28</xdr:row>
      <xdr:rowOff>180975</xdr:rowOff>
    </xdr:from>
    <xdr:to>
      <xdr:col>15</xdr:col>
      <xdr:colOff>285750</xdr:colOff>
      <xdr:row>43</xdr:row>
      <xdr:rowOff>66675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6A40E7B5-E679-4F6D-839B-A9AFD28F83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304800</xdr:colOff>
      <xdr:row>57</xdr:row>
      <xdr:rowOff>161925</xdr:rowOff>
    </xdr:from>
    <xdr:to>
      <xdr:col>15</xdr:col>
      <xdr:colOff>304800</xdr:colOff>
      <xdr:row>73</xdr:row>
      <xdr:rowOff>47625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1DA05338-A3CA-4B20-BE58-998D2B65AB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9</xdr:col>
      <xdr:colOff>304800</xdr:colOff>
      <xdr:row>73</xdr:row>
      <xdr:rowOff>47625</xdr:rowOff>
    </xdr:from>
    <xdr:to>
      <xdr:col>15</xdr:col>
      <xdr:colOff>304800</xdr:colOff>
      <xdr:row>87</xdr:row>
      <xdr:rowOff>123825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42F7C8B2-C791-4B4F-BEF5-3D148605DF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276225</xdr:colOff>
      <xdr:row>87</xdr:row>
      <xdr:rowOff>133350</xdr:rowOff>
    </xdr:from>
    <xdr:to>
      <xdr:col>15</xdr:col>
      <xdr:colOff>276225</xdr:colOff>
      <xdr:row>103</xdr:row>
      <xdr:rowOff>19050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A24C7132-9DF5-4E88-BCA8-DE2204F279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15</xdr:col>
      <xdr:colOff>309562</xdr:colOff>
      <xdr:row>43</xdr:row>
      <xdr:rowOff>90487</xdr:rowOff>
    </xdr:from>
    <xdr:to>
      <xdr:col>21</xdr:col>
      <xdr:colOff>309562</xdr:colOff>
      <xdr:row>57</xdr:row>
      <xdr:rowOff>166687</xdr:rowOff>
    </xdr:to>
    <xdr:graphicFrame macro="">
      <xdr:nvGraphicFramePr>
        <xdr:cNvPr id="14" name="Diagramm 13">
          <a:extLst>
            <a:ext uri="{FF2B5EF4-FFF2-40B4-BE49-F238E27FC236}">
              <a16:creationId xmlns:a16="http://schemas.microsoft.com/office/drawing/2014/main" id="{57DA4E59-E60B-4E1B-8711-9126F953D28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15</xdr:col>
      <xdr:colOff>304800</xdr:colOff>
      <xdr:row>29</xdr:row>
      <xdr:rowOff>28575</xdr:rowOff>
    </xdr:from>
    <xdr:to>
      <xdr:col>21</xdr:col>
      <xdr:colOff>304800</xdr:colOff>
      <xdr:row>43</xdr:row>
      <xdr:rowOff>104775</xdr:rowOff>
    </xdr:to>
    <xdr:graphicFrame macro="">
      <xdr:nvGraphicFramePr>
        <xdr:cNvPr id="15" name="Diagramm 14">
          <a:extLst>
            <a:ext uri="{FF2B5EF4-FFF2-40B4-BE49-F238E27FC236}">
              <a16:creationId xmlns:a16="http://schemas.microsoft.com/office/drawing/2014/main" id="{67B35471-05F7-47C6-8311-0F25D880E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15</xdr:col>
      <xdr:colOff>276225</xdr:colOff>
      <xdr:row>14</xdr:row>
      <xdr:rowOff>104775</xdr:rowOff>
    </xdr:from>
    <xdr:to>
      <xdr:col>21</xdr:col>
      <xdr:colOff>276225</xdr:colOff>
      <xdr:row>28</xdr:row>
      <xdr:rowOff>180975</xdr:rowOff>
    </xdr:to>
    <xdr:graphicFrame macro="">
      <xdr:nvGraphicFramePr>
        <xdr:cNvPr id="16" name="Diagramm 15">
          <a:extLst>
            <a:ext uri="{FF2B5EF4-FFF2-40B4-BE49-F238E27FC236}">
              <a16:creationId xmlns:a16="http://schemas.microsoft.com/office/drawing/2014/main" id="{B83E43A9-D24F-47F6-9ABD-60855943BB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15</xdr:col>
      <xdr:colOff>295275</xdr:colOff>
      <xdr:row>57</xdr:row>
      <xdr:rowOff>171450</xdr:rowOff>
    </xdr:from>
    <xdr:to>
      <xdr:col>21</xdr:col>
      <xdr:colOff>295275</xdr:colOff>
      <xdr:row>73</xdr:row>
      <xdr:rowOff>57150</xdr:rowOff>
    </xdr:to>
    <xdr:graphicFrame macro="">
      <xdr:nvGraphicFramePr>
        <xdr:cNvPr id="17" name="Diagramm 16">
          <a:extLst>
            <a:ext uri="{FF2B5EF4-FFF2-40B4-BE49-F238E27FC236}">
              <a16:creationId xmlns:a16="http://schemas.microsoft.com/office/drawing/2014/main" id="{05AF09A4-BED4-44E5-B317-58573A28CE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15</xdr:col>
      <xdr:colOff>333375</xdr:colOff>
      <xdr:row>73</xdr:row>
      <xdr:rowOff>57150</xdr:rowOff>
    </xdr:from>
    <xdr:to>
      <xdr:col>21</xdr:col>
      <xdr:colOff>333375</xdr:colOff>
      <xdr:row>87</xdr:row>
      <xdr:rowOff>133350</xdr:rowOff>
    </xdr:to>
    <xdr:graphicFrame macro="">
      <xdr:nvGraphicFramePr>
        <xdr:cNvPr id="18" name="Diagramm 17">
          <a:extLst>
            <a:ext uri="{FF2B5EF4-FFF2-40B4-BE49-F238E27FC236}">
              <a16:creationId xmlns:a16="http://schemas.microsoft.com/office/drawing/2014/main" id="{1BC04B14-096F-469A-AADB-1038FBBD8F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15</xdr:col>
      <xdr:colOff>304800</xdr:colOff>
      <xdr:row>87</xdr:row>
      <xdr:rowOff>133350</xdr:rowOff>
    </xdr:from>
    <xdr:to>
      <xdr:col>21</xdr:col>
      <xdr:colOff>304800</xdr:colOff>
      <xdr:row>103</xdr:row>
      <xdr:rowOff>19050</xdr:rowOff>
    </xdr:to>
    <xdr:graphicFrame macro="">
      <xdr:nvGraphicFramePr>
        <xdr:cNvPr id="19" name="Diagramm 18">
          <a:extLst>
            <a:ext uri="{FF2B5EF4-FFF2-40B4-BE49-F238E27FC236}">
              <a16:creationId xmlns:a16="http://schemas.microsoft.com/office/drawing/2014/main" id="{DE6D988C-2E07-48D0-A216-0E4E27E1DB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22</xdr:col>
      <xdr:colOff>585107</xdr:colOff>
      <xdr:row>42</xdr:row>
      <xdr:rowOff>125186</xdr:rowOff>
    </xdr:from>
    <xdr:to>
      <xdr:col>29</xdr:col>
      <xdr:colOff>408213</xdr:colOff>
      <xdr:row>59</xdr:row>
      <xdr:rowOff>108858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884669F5-B958-4142-8D19-9582A183FB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29</xdr:col>
      <xdr:colOff>734786</xdr:colOff>
      <xdr:row>41</xdr:row>
      <xdr:rowOff>0</xdr:rowOff>
    </xdr:from>
    <xdr:to>
      <xdr:col>36</xdr:col>
      <xdr:colOff>734785</xdr:colOff>
      <xdr:row>57</xdr:row>
      <xdr:rowOff>174172</xdr:rowOff>
    </xdr:to>
    <xdr:graphicFrame macro="">
      <xdr:nvGraphicFramePr>
        <xdr:cNvPr id="20" name="Diagramm 19">
          <a:extLst>
            <a:ext uri="{FF2B5EF4-FFF2-40B4-BE49-F238E27FC236}">
              <a16:creationId xmlns:a16="http://schemas.microsoft.com/office/drawing/2014/main" id="{E083CAAE-7883-48CC-B563-FFF71A6814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29</xdr:col>
      <xdr:colOff>292553</xdr:colOff>
      <xdr:row>84</xdr:row>
      <xdr:rowOff>84364</xdr:rowOff>
    </xdr:from>
    <xdr:to>
      <xdr:col>34</xdr:col>
      <xdr:colOff>551089</xdr:colOff>
      <xdr:row>98</xdr:row>
      <xdr:rowOff>160564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FEE359B7-15B6-47C5-B5F2-11D4F00A18E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15</xdr:col>
      <xdr:colOff>276225</xdr:colOff>
      <xdr:row>0</xdr:row>
      <xdr:rowOff>0</xdr:rowOff>
    </xdr:from>
    <xdr:to>
      <xdr:col>21</xdr:col>
      <xdr:colOff>272142</xdr:colOff>
      <xdr:row>14</xdr:row>
      <xdr:rowOff>108856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EC9CBDFC-C20C-430D-99A6-3739CBAF3F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738187</xdr:colOff>
      <xdr:row>24</xdr:row>
      <xdr:rowOff>90487</xdr:rowOff>
    </xdr:from>
    <xdr:to>
      <xdr:col>19</xdr:col>
      <xdr:colOff>738187</xdr:colOff>
      <xdr:row>38</xdr:row>
      <xdr:rowOff>166687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E5B1136-63CE-4C49-878C-12F27B1E3B6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Verbrauchswerte_Energie-M&#252;ll-Wasse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24_11-Verbrauchswerte_Energie-M&#252;ll-Wass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hreswerte - Emden"/>
      <sheetName val="Jahreswerte - Leer"/>
      <sheetName val="Monatswerte - Emden und Leer"/>
      <sheetName val="Mobilität"/>
      <sheetName val="Sonstiges"/>
      <sheetName val="Gesamtemissionen"/>
    </sheetNames>
    <sheetDataSet>
      <sheetData sheetId="0"/>
      <sheetData sheetId="1"/>
      <sheetData sheetId="2">
        <row r="17">
          <cell r="O17">
            <v>610742.31000000006</v>
          </cell>
        </row>
        <row r="77">
          <cell r="O77">
            <v>5000050</v>
          </cell>
        </row>
      </sheetData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hreswerte - Emden"/>
      <sheetName val="Jahreswerte - Leer"/>
      <sheetName val="Monatswerte - Emden und Leer"/>
      <sheetName val="Mobilität"/>
      <sheetName val="Sonstiges"/>
      <sheetName val="Gesamtemissionen"/>
    </sheetNames>
    <sheetDataSet>
      <sheetData sheetId="0">
        <row r="14">
          <cell r="I14">
            <v>612887.06999999995</v>
          </cell>
          <cell r="K14">
            <v>90288</v>
          </cell>
          <cell r="L14">
            <v>109658</v>
          </cell>
          <cell r="M14">
            <v>669729.78415727266</v>
          </cell>
          <cell r="N14">
            <v>11910</v>
          </cell>
          <cell r="O14">
            <v>1470652.8541572727</v>
          </cell>
          <cell r="Q14">
            <v>2072183.7381103735</v>
          </cell>
          <cell r="V14">
            <v>2199589.2618896263</v>
          </cell>
          <cell r="X14">
            <v>4271773</v>
          </cell>
          <cell r="AC14">
            <v>4852</v>
          </cell>
        </row>
      </sheetData>
      <sheetData sheetId="1">
        <row r="17">
          <cell r="E17">
            <v>99745.75</v>
          </cell>
          <cell r="M17">
            <v>85268.55</v>
          </cell>
          <cell r="U17">
            <v>73</v>
          </cell>
          <cell r="X17">
            <v>183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2" Type="http://schemas.openxmlformats.org/officeDocument/2006/relationships/hyperlink" Target="https://www.studentenwerk-oldenburg.de/de/allgemeines/publikationen/geschaeftsberichte?format=html" TargetMode="External"/><Relationship Id="rId1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4" Type="http://schemas.openxmlformats.org/officeDocument/2006/relationships/hyperlink" Target="https://www.hs-emden-leer.de/hochschule/organisation/einrichtungen/hochschulplanung-und-qualitaetssicherung/zahlen-daten-und-fakten/oeffentliche-bericht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muv.de/themen/verkehr/elektromobilitaet/klima-und-energie%20Abbildung%201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" Type="http://schemas.openxmlformats.org/officeDocument/2006/relationships/hyperlink" Target="https://carwiki.de/passat-gte-technische-daten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wb.de/-/media/files/entsorgung/umwelterklaerungen/de-112-00004-swberzeugungentsorgung-2023-web.pdf%20Seite%2040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://web.archive.org/web/20150919035044/http:/www.probas.umweltbundesamt.de/php/prozessdetails.php?id=%7b4AA00B29-8EB5-4695-8CE9-FF98139D48F2%7d" TargetMode="External"/><Relationship Id="rId13" Type="http://schemas.openxmlformats.org/officeDocument/2006/relationships/hyperlink" Target="https://www.umweltbundesamt.de/publikationen/entwicklung-der-spezifischen-treibhausgas-9" TargetMode="External"/><Relationship Id="rId18" Type="http://schemas.openxmlformats.org/officeDocument/2006/relationships/hyperlink" Target="https://www.papiernetz.de/informationen/nachhaltigkeitsrechner/" TargetMode="External"/><Relationship Id="rId3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21" Type="http://schemas.openxmlformats.org/officeDocument/2006/relationships/hyperlink" Target="https://www.gesetze-im-internet.de/ebev_2030/BJNR286800022.html" TargetMode="External"/><Relationship Id="rId7" Type="http://schemas.openxmlformats.org/officeDocument/2006/relationships/hyperlink" Target="https://www.swb.de/-/media/files/entsorgung/umwelterklaerungen/de-112-00004-swberzeugungentsorgung-2023-web.pdf" TargetMode="External"/><Relationship Id="rId12" Type="http://schemas.openxmlformats.org/officeDocument/2006/relationships/hyperlink" Target="https://www.umweltbundesamt.de/sites/default/files/medien/11850/publikationen/20231219_49_2023_cc_emissionsbilanz_erneuerbarer_energien_2022_bf.pdf%20S.150%20Umrechnung%209,02%20kWh/Liter" TargetMode="External"/><Relationship Id="rId17" Type="http://schemas.openxmlformats.org/officeDocument/2006/relationships/hyperlink" Target="https://www.papiernetz.de/informationen/nachhaltigkeitsrechner/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6" Type="http://schemas.openxmlformats.org/officeDocument/2006/relationships/hyperlink" Target="https://www.papiernetz.de/informationen/nachhaltigkeitsrechner/" TargetMode="External"/><Relationship Id="rId20" Type="http://schemas.openxmlformats.org/officeDocument/2006/relationships/hyperlink" Target="https://www.bmuv.de/fileadmin/Daten_BMU/Pools/Forschungsdatenbank/fkz_3711_33_311_klimaschutzpotenziale_abfallwirtschaft_bf.pdf" TargetMode="External"/><Relationship Id="rId1" Type="http://schemas.openxmlformats.org/officeDocument/2006/relationships/hyperlink" Target="https://mobilitaet-in-tabellen.dlr.de/mit/login.html?brd%20(16%25%20&#214;PNV%20f&#252;r%20zentrale%20Stadt%20im%20l&#228;ndlichen%20Raum)" TargetMode="External"/><Relationship Id="rId6" Type="http://schemas.openxmlformats.org/officeDocument/2006/relationships/hyperlink" Target="https://www.energiedeutschland.de/uber-uns/stromkennzeichnung/%20;&#214;kostrombezug" TargetMode="External"/><Relationship Id="rId11" Type="http://schemas.openxmlformats.org/officeDocument/2006/relationships/hyperlink" Target="https://www.umweltbundesamt.de/sites/default/files/medien/11850/publikationen/20231219_49_2023_cc_emissionsbilanz_erneuerbarer_energien_2022_bf.pdf%20S.146%20Umrechnung%209,96%20kWh/Liter" TargetMode="External"/><Relationship Id="rId5" Type="http://schemas.openxmlformats.org/officeDocument/2006/relationships/hyperlink" Target="https://www.energiedeutschland.de/uber-uns/stromkennzeichnung/" TargetMode="External"/><Relationship Id="rId15" Type="http://schemas.openxmlformats.org/officeDocument/2006/relationships/hyperlink" Target="https://www.probas.umweltbundesamt.de/einblick/" TargetMode="External"/><Relationship Id="rId10" Type="http://schemas.openxmlformats.org/officeDocument/2006/relationships/hyperlink" Target="https://www.umweltbundesamt.de/sites/default/files/medien/11850/publikationen/13_2024_texte_analyse_der_umweltbilanz_von_kraftfahrzeugen_0.pdf" TargetMode="External"/><Relationship Id="rId19" Type="http://schemas.openxmlformats.org/officeDocument/2006/relationships/hyperlink" Target="https://www.bmuv.de/fileadmin/Daten_BMU/Pools/Forschungsdatenbank/fkz_3711_33_311_klimaschutzpotenziale_abfallwirtschaft_bf.pdf" TargetMode="External"/><Relationship Id="rId4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9" Type="http://schemas.openxmlformats.org/officeDocument/2006/relationships/hyperlink" Target="https://www.bafa.de/SharedDocs/Downloads/DE/Energie/eew_infoblatt_co2_faktoren_2023.pdf" TargetMode="External"/><Relationship Id="rId14" Type="http://schemas.openxmlformats.org/officeDocument/2006/relationships/hyperlink" Target="https://www.umweltbundesamt.de/sites/default/files/medien/1410/publikationen/cc_61-2021_emissionsfaktoren-stromerzeugung_bf.pdf" TargetMode="External"/><Relationship Id="rId22" Type="http://schemas.openxmlformats.org/officeDocument/2006/relationships/hyperlink" Target="https://app.electricitymaps.com/zone/DE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://web.archive.org/web/20150919035044/http:/www.probas.umweltbundesamt.de/php/prozessdetails.php?id=%7b4AA00B29-8EB5-4695-8CE9-FF98139D48F2%7d" TargetMode="External"/><Relationship Id="rId13" Type="http://schemas.openxmlformats.org/officeDocument/2006/relationships/hyperlink" Target="https://www.umweltbundesamt.de/publikationen/entwicklung-der-spezifischen-treibhausgas-9" TargetMode="External"/><Relationship Id="rId18" Type="http://schemas.openxmlformats.org/officeDocument/2006/relationships/hyperlink" Target="https://www.papiernetz.de/informationen/nachhaltigkeitsrechner/" TargetMode="External"/><Relationship Id="rId3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21" Type="http://schemas.openxmlformats.org/officeDocument/2006/relationships/hyperlink" Target="https://www.gesetze-im-internet.de/ebev_2030/BJNR286800022.html" TargetMode="External"/><Relationship Id="rId7" Type="http://schemas.openxmlformats.org/officeDocument/2006/relationships/hyperlink" Target="https://www.swb.de/-/media/files/entsorgung/umwelterklaerungen/de-112-00004-swberzeugungentsorgung-2023-web.pdf" TargetMode="External"/><Relationship Id="rId12" Type="http://schemas.openxmlformats.org/officeDocument/2006/relationships/hyperlink" Target="https://www.umweltbundesamt.de/sites/default/files/medien/11850/publikationen/20231219_49_2023_cc_emissionsbilanz_erneuerbarer_energien_2022_bf.pdf%20S.150%20Umrechnung%209,02%20kWh/Liter" TargetMode="External"/><Relationship Id="rId17" Type="http://schemas.openxmlformats.org/officeDocument/2006/relationships/hyperlink" Target="https://www.papiernetz.de/informationen/nachhaltigkeitsrechner/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6" Type="http://schemas.openxmlformats.org/officeDocument/2006/relationships/hyperlink" Target="https://www.papiernetz.de/informationen/nachhaltigkeitsrechner/" TargetMode="External"/><Relationship Id="rId20" Type="http://schemas.openxmlformats.org/officeDocument/2006/relationships/hyperlink" Target="https://www.bmuv.de/fileadmin/Daten_BMU/Pools/Forschungsdatenbank/fkz_3711_33_311_klimaschutzpotenziale_abfallwirtschaft_bf.pdf" TargetMode="External"/><Relationship Id="rId1" Type="http://schemas.openxmlformats.org/officeDocument/2006/relationships/hyperlink" Target="https://mobilitaet-in-tabellen.dlr.de/mit/login.html?brd%20(16%25%20&#214;PNV%20f&#252;r%20zentrale%20Stadt%20im%20l&#228;ndlichen%20Raum)" TargetMode="External"/><Relationship Id="rId6" Type="http://schemas.openxmlformats.org/officeDocument/2006/relationships/hyperlink" Target="https://www.energiedeutschland.de/uber-uns/stromkennzeichnung/%20;&#214;kostrombezug" TargetMode="External"/><Relationship Id="rId11" Type="http://schemas.openxmlformats.org/officeDocument/2006/relationships/hyperlink" Target="https://www.umweltbundesamt.de/sites/default/files/medien/11850/publikationen/20231219_49_2023_cc_emissionsbilanz_erneuerbarer_energien_2022_bf.pdf%20S.146%20Umrechnung%209,96%20kWh/Liter" TargetMode="External"/><Relationship Id="rId5" Type="http://schemas.openxmlformats.org/officeDocument/2006/relationships/hyperlink" Target="https://www.energiedeutschland.de/uber-uns/stromkennzeichnung/" TargetMode="External"/><Relationship Id="rId15" Type="http://schemas.openxmlformats.org/officeDocument/2006/relationships/hyperlink" Target="https://www.probas.umweltbundesamt.de/einblick/" TargetMode="External"/><Relationship Id="rId10" Type="http://schemas.openxmlformats.org/officeDocument/2006/relationships/hyperlink" Target="https://www.umweltbundesamt.de/sites/default/files/medien/11850/publikationen/13_2024_texte_analyse_der_umweltbilanz_von_kraftfahrzeugen_0.pdf" TargetMode="External"/><Relationship Id="rId19" Type="http://schemas.openxmlformats.org/officeDocument/2006/relationships/hyperlink" Target="https://www.bmuv.de/fileadmin/Daten_BMU/Pools/Forschungsdatenbank/fkz_3711_33_311_klimaschutzpotenziale_abfallwirtschaft_bf.pdf" TargetMode="External"/><Relationship Id="rId4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9" Type="http://schemas.openxmlformats.org/officeDocument/2006/relationships/hyperlink" Target="https://www.bafa.de/SharedDocs/Downloads/DE/Energie/eew_infoblatt_co2_faktoren_2023.pdf" TargetMode="External"/><Relationship Id="rId14" Type="http://schemas.openxmlformats.org/officeDocument/2006/relationships/hyperlink" Target="https://www.umweltbundesamt.de/sites/default/files/medien/1410/publikationen/cc_61-2021_emissionsfaktoren-stromerzeugung_bf.pdf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umweltbundesamt.de/sites/default/files/medien/1410/publikationen/cc_61-2021_emissionsfaktoren-stromerzeugung_bf.pdf" TargetMode="External"/><Relationship Id="rId13" Type="http://schemas.openxmlformats.org/officeDocument/2006/relationships/hyperlink" Target="http://web.archive.org/web/20150919035044/http:/www.probas.umweltbundesamt.de/php/prozessdetails.php?id=%7b4AA00B29-8EB5-4695-8CE9-FF98139D48F2%7d" TargetMode="External"/><Relationship Id="rId3" Type="http://schemas.openxmlformats.org/officeDocument/2006/relationships/hyperlink" Target="https://www.umweltbundesamt.de/sites/default/files/medien/11850/publikationen/13_2024_texte_analyse_der_umweltbilanz_von_kraftfahrzeugen_0.pdf" TargetMode="External"/><Relationship Id="rId7" Type="http://schemas.openxmlformats.org/officeDocument/2006/relationships/hyperlink" Target="https://www.umweltbundesamt.de/publikationen/entwicklung-der-spezifischen-treibhausgas-9" TargetMode="External"/><Relationship Id="rId12" Type="http://schemas.openxmlformats.org/officeDocument/2006/relationships/hyperlink" Target="https://www.swb.de/-/media/files/entsorgung/umwelterklaerungen/de-112-00004-swberzeugungentsorgung-2023-web.pdf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" Type="http://schemas.openxmlformats.org/officeDocument/2006/relationships/hyperlink" Target="https://mobilitaet-in-tabellen.dlr.de/mit/login.html?brd%20(16%25%20&#214;PNV%20f&#252;r%20zentrale%20Stadt%20im%20l&#228;ndlichen%20Raum)" TargetMode="External"/><Relationship Id="rId6" Type="http://schemas.openxmlformats.org/officeDocument/2006/relationships/hyperlink" Target="https://www.umweltbundesamt.de/publikationen/entwicklung-der-spezifischen-treibhausgas-9" TargetMode="External"/><Relationship Id="rId11" Type="http://schemas.openxmlformats.org/officeDocument/2006/relationships/hyperlink" Target="https://www.papiernetz.de/informationen/nachhaltigkeitsrechner/" TargetMode="External"/><Relationship Id="rId5" Type="http://schemas.openxmlformats.org/officeDocument/2006/relationships/hyperlink" Target="https://www.umweltbundesamt.de/sites/default/files/medien/11850/publikationen/20231219_49_2023_cc_emissionsbilanz_erneuerbarer_energien_2022_bf.pdf%20S.150%20Umrechnung%209,02%20kWh/Liter" TargetMode="External"/><Relationship Id="rId15" Type="http://schemas.openxmlformats.org/officeDocument/2006/relationships/hyperlink" Target="https://www.umweltbundesamt.de/themen/verkehr/emissionsdaten" TargetMode="External"/><Relationship Id="rId10" Type="http://schemas.openxmlformats.org/officeDocument/2006/relationships/hyperlink" Target="https://www.probas.umweltbundesamt.de/einblick/" TargetMode="External"/><Relationship Id="rId4" Type="http://schemas.openxmlformats.org/officeDocument/2006/relationships/hyperlink" Target="https://www.umweltbundesamt.de/sites/default/files/medien/11850/publikationen/20231219_49_2023_cc_emissionsbilanz_erneuerbarer_energien_2022_bf.pdf%20S.146%20Umrechnung%209,96%20kWh/Liter" TargetMode="External"/><Relationship Id="rId9" Type="http://schemas.openxmlformats.org/officeDocument/2006/relationships/hyperlink" Target="https://www.energiedeutschland.de/uber-uns/stromkennzeichnung/" TargetMode="External"/><Relationship Id="rId14" Type="http://schemas.openxmlformats.org/officeDocument/2006/relationships/hyperlink" Target="https://www.bafa.de/SharedDocs/Downloads/DE/Energie/eew_infoblatt_co2_faktoren_2023.pdf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umweltbundesamt.de/publikationen/entwicklung-der-spezifischen-treibhausgas-9" TargetMode="External"/><Relationship Id="rId13" Type="http://schemas.openxmlformats.org/officeDocument/2006/relationships/hyperlink" Target="https://www.energiedeutschland.de/uber-uns/stromkennzeichnung/" TargetMode="External"/><Relationship Id="rId3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7" Type="http://schemas.openxmlformats.org/officeDocument/2006/relationships/hyperlink" Target="https://www.umweltbundesamt.de/publikationen/entwicklung-der-spezifischen-treibhausgas-9" TargetMode="External"/><Relationship Id="rId12" Type="http://schemas.openxmlformats.org/officeDocument/2006/relationships/hyperlink" Target="https://www.umweltbundesamt.de/sites/default/files/medien/1410/publikationen/cc_61-2021_emissionsfaktoren-stromerzeugung_bf.pdf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6" Type="http://schemas.openxmlformats.org/officeDocument/2006/relationships/hyperlink" Target="https://www.umweltbundesamt.de/themen/verkehr/emissionsdaten" TargetMode="External"/><Relationship Id="rId1" Type="http://schemas.openxmlformats.org/officeDocument/2006/relationships/hyperlink" Target="https://mobilitaet-in-tabellen.dlr.de/mit/login.html?brd%20(16%25%20&#214;PNV%20f&#252;r%20zentrale%20Stadt%20im%20l&#228;ndlichen%20Raum)" TargetMode="External"/><Relationship Id="rId6" Type="http://schemas.openxmlformats.org/officeDocument/2006/relationships/hyperlink" Target="https://www.umweltbundesamt.de/sites/default/files/medien/11850/publikationen/20231219_49_2023_cc_emissionsbilanz_erneuerbarer_energien_2022_bf.pdf%20S.150%20Umrechnung%209,02%20kWh/Liter" TargetMode="External"/><Relationship Id="rId11" Type="http://schemas.openxmlformats.org/officeDocument/2006/relationships/hyperlink" Target="https://www.bafa.de/SharedDocs/Downloads/DE/Energie/eew_infoblatt_co2_faktoren_2023.pdf" TargetMode="External"/><Relationship Id="rId5" Type="http://schemas.openxmlformats.org/officeDocument/2006/relationships/hyperlink" Target="https://www.umweltbundesamt.de/sites/default/files/medien/11850/publikationen/20231219_49_2023_cc_emissionsbilanz_erneuerbarer_energien_2022_bf.pdf%20S.146%20Umrechnung%209,96%20kWh/Liter" TargetMode="External"/><Relationship Id="rId15" Type="http://schemas.openxmlformats.org/officeDocument/2006/relationships/hyperlink" Target="https://www.papiernetz.de/informationen/nachhaltigkeitsrechner/" TargetMode="External"/><Relationship Id="rId10" Type="http://schemas.openxmlformats.org/officeDocument/2006/relationships/hyperlink" Target="http://web.archive.org/web/20150919035044/http:/www.probas.umweltbundesamt.de/php/prozessdetails.php?id=%7b4AA00B29-8EB5-4695-8CE9-FF98139D48F2%7d" TargetMode="External"/><Relationship Id="rId4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9" Type="http://schemas.openxmlformats.org/officeDocument/2006/relationships/hyperlink" Target="https://www.swb.de/-/media/files/entsorgung/umwelterklaerungen/de-112-00004-swberzeugungentsorgung-2023-web.pdf" TargetMode="External"/><Relationship Id="rId14" Type="http://schemas.openxmlformats.org/officeDocument/2006/relationships/hyperlink" Target="https://www.probas.umweltbundesamt.de/einblick/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umweltbundesamt.de/publikationen/entwicklung-der-spezifischen-treibhausgas-9" TargetMode="External"/><Relationship Id="rId13" Type="http://schemas.openxmlformats.org/officeDocument/2006/relationships/hyperlink" Target="https://www.energiedeutschland.de/uber-uns/stromkennzeichnung/" TargetMode="External"/><Relationship Id="rId3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7" Type="http://schemas.openxmlformats.org/officeDocument/2006/relationships/hyperlink" Target="https://www.umweltbundesamt.de/publikationen/entwicklung-der-spezifischen-treibhausgas-9" TargetMode="External"/><Relationship Id="rId12" Type="http://schemas.openxmlformats.org/officeDocument/2006/relationships/hyperlink" Target="https://www.umweltbundesamt.de/sites/default/files/medien/1410/publikationen/cc_61-2021_emissionsfaktoren-stromerzeugung_bf.pdf" TargetMode="External"/><Relationship Id="rId2" Type="http://schemas.openxmlformats.org/officeDocument/2006/relationships/hyperlink" Target="https://www.hs-emden-leer.de/hochschule/organisation/einrichtungen/hochschulplanung-und-qualitaetssicherung/zahlen-daten-und-fakten/oeffentliche-berichte" TargetMode="External"/><Relationship Id="rId16" Type="http://schemas.openxmlformats.org/officeDocument/2006/relationships/hyperlink" Target="https://www.umweltbundesamt.de/themen/verkehr/emissionsdaten" TargetMode="External"/><Relationship Id="rId1" Type="http://schemas.openxmlformats.org/officeDocument/2006/relationships/hyperlink" Target="https://mobilitaet-in-tabellen.dlr.de/mit/Tables?action=extrapolation&amp;filename=MiD2017_VA-VL_VM-Raum.pdf&amp;pwh=-1545834436%20(16%25%20&#214;PNV%20f&#252;r%20zentrale%20Stadt%20im%20l&#228;ndlichen%20Raum)" TargetMode="External"/><Relationship Id="rId6" Type="http://schemas.openxmlformats.org/officeDocument/2006/relationships/hyperlink" Target="https://www.umweltbundesamt.de/sites/default/files/medien/11850/publikationen/20231219_49_2023_cc_emissionsbilanz_erneuerbarer_energien_2022_bf.pdf%20S.150%20Umrechnung%209,02%20kWh/Liter" TargetMode="External"/><Relationship Id="rId11" Type="http://schemas.openxmlformats.org/officeDocument/2006/relationships/hyperlink" Target="https://www.bafa.de/SharedDocs/Downloads/DE/Energie/eew_infoblatt_co2_faktoren_2023.pdf" TargetMode="External"/><Relationship Id="rId5" Type="http://schemas.openxmlformats.org/officeDocument/2006/relationships/hyperlink" Target="https://www.umweltbundesamt.de/sites/default/files/medien/11850/publikationen/20231219_49_2023_cc_emissionsbilanz_erneuerbarer_energien_2022_bf.pdf%20S.146%20Umrechnung%209,96%20kWh/Liter" TargetMode="External"/><Relationship Id="rId15" Type="http://schemas.openxmlformats.org/officeDocument/2006/relationships/hyperlink" Target="https://www.papiernetz.de/informationen/nachhaltigkeitsrechner/" TargetMode="External"/><Relationship Id="rId10" Type="http://schemas.openxmlformats.org/officeDocument/2006/relationships/hyperlink" Target="http://web.archive.org/web/20150919035044/http:/www.probas.umweltbundesamt.de/php/prozessdetails.php?id=%7b4AA00B29-8EB5-4695-8CE9-FF98139D48F2%7d" TargetMode="External"/><Relationship Id="rId4" Type="http://schemas.openxmlformats.org/officeDocument/2006/relationships/hyperlink" Target="https://www.umweltbundesamt.de/sites/default/files/medien/11850/publikationen/20231219_49_2023_cc_emissionsbilanz_erneuerbarer_energien_2022_bf.pdf" TargetMode="External"/><Relationship Id="rId9" Type="http://schemas.openxmlformats.org/officeDocument/2006/relationships/hyperlink" Target="https://www.swb.de/-/media/files/entsorgung/umwelterklaerungen/de-112-00004-swberzeugungentsorgung-2023-web.pdf" TargetMode="External"/><Relationship Id="rId14" Type="http://schemas.openxmlformats.org/officeDocument/2006/relationships/hyperlink" Target="https://www.probas.umweltbundesamt.de/einblic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86995-0991-4540-9EB3-393D7D77DF82}">
  <dimension ref="A1:AA61"/>
  <sheetViews>
    <sheetView workbookViewId="0">
      <selection activeCell="F7" sqref="F7"/>
    </sheetView>
  </sheetViews>
  <sheetFormatPr baseColWidth="10" defaultRowHeight="15"/>
  <cols>
    <col min="1" max="1" width="15.140625" bestFit="1" customWidth="1"/>
    <col min="2" max="2" width="17.140625" bestFit="1" customWidth="1"/>
    <col min="3" max="3" width="40.42578125" bestFit="1" customWidth="1"/>
    <col min="4" max="4" width="20.85546875" bestFit="1" customWidth="1"/>
    <col min="5" max="5" width="18.5703125" bestFit="1" customWidth="1"/>
    <col min="6" max="6" width="13.5703125" bestFit="1" customWidth="1"/>
    <col min="7" max="7" width="16.140625" bestFit="1" customWidth="1"/>
    <col min="8" max="8" width="12.28515625" bestFit="1" customWidth="1"/>
    <col min="9" max="9" width="12" bestFit="1" customWidth="1"/>
    <col min="10" max="10" width="17.42578125" customWidth="1"/>
    <col min="11" max="11" width="23.28515625" bestFit="1" customWidth="1"/>
    <col min="12" max="12" width="20" bestFit="1" customWidth="1"/>
    <col min="13" max="13" width="23.42578125" bestFit="1" customWidth="1"/>
    <col min="14" max="14" width="13.5703125" bestFit="1" customWidth="1"/>
    <col min="15" max="15" width="12" bestFit="1" customWidth="1"/>
    <col min="16" max="16" width="9.28515625" bestFit="1" customWidth="1"/>
    <col min="17" max="17" width="10" bestFit="1" customWidth="1"/>
    <col min="18" max="18" width="9.42578125" customWidth="1"/>
    <col min="19" max="25" width="11" customWidth="1"/>
    <col min="26" max="26" width="6" bestFit="1" customWidth="1"/>
    <col min="27" max="27" width="14.7109375" bestFit="1" customWidth="1"/>
    <col min="28" max="1003" width="11" customWidth="1"/>
  </cols>
  <sheetData>
    <row r="1" spans="1:2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5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5" t="s">
        <v>14</v>
      </c>
      <c r="O1" s="15" t="s">
        <v>15</v>
      </c>
      <c r="P1" s="15" t="s">
        <v>16</v>
      </c>
      <c r="Q1" s="15" t="s">
        <v>222</v>
      </c>
      <c r="T1" s="16" t="s">
        <v>17</v>
      </c>
      <c r="U1" t="s">
        <v>18</v>
      </c>
    </row>
    <row r="2" spans="1:27">
      <c r="A2" t="s">
        <v>52</v>
      </c>
      <c r="B2" s="53" t="s">
        <v>100</v>
      </c>
      <c r="C2" s="53" t="s">
        <v>240</v>
      </c>
      <c r="D2" s="53" t="s">
        <v>226</v>
      </c>
      <c r="E2" s="53" t="s">
        <v>100</v>
      </c>
      <c r="F2" t="s">
        <v>241</v>
      </c>
      <c r="G2" t="s">
        <v>227</v>
      </c>
      <c r="H2" t="s">
        <v>228</v>
      </c>
      <c r="I2" t="s">
        <v>229</v>
      </c>
      <c r="J2" t="s">
        <v>227</v>
      </c>
      <c r="K2" t="s">
        <v>230</v>
      </c>
      <c r="L2" t="s">
        <v>231</v>
      </c>
      <c r="M2" t="s">
        <v>20</v>
      </c>
      <c r="N2" t="s">
        <v>232</v>
      </c>
      <c r="O2" t="s">
        <v>233</v>
      </c>
      <c r="P2" t="s">
        <v>56</v>
      </c>
      <c r="Q2" t="s">
        <v>234</v>
      </c>
      <c r="T2" t="s">
        <v>234</v>
      </c>
      <c r="U2" t="s">
        <v>234</v>
      </c>
    </row>
    <row r="3" spans="1:27">
      <c r="A3" s="1">
        <v>2020</v>
      </c>
      <c r="B3" s="5">
        <v>462</v>
      </c>
      <c r="C3" s="4">
        <v>4145</v>
      </c>
      <c r="D3" s="4">
        <v>53583592.229999997</v>
      </c>
      <c r="E3" s="4">
        <v>52953929.859999999</v>
      </c>
      <c r="F3" s="6">
        <v>644523</v>
      </c>
      <c r="G3" s="6">
        <v>97236</v>
      </c>
      <c r="H3" s="6">
        <v>44007</v>
      </c>
      <c r="I3" s="6">
        <v>826000</v>
      </c>
      <c r="J3" s="6">
        <v>4652.54</v>
      </c>
      <c r="K3" s="6">
        <f>I3+H3+G3+F3-J3</f>
        <v>1607113.46</v>
      </c>
      <c r="L3" s="6">
        <v>2526650.8988379999</v>
      </c>
      <c r="M3" s="6">
        <f>(N3-L3)</f>
        <v>3155260.1011620001</v>
      </c>
      <c r="N3" s="6">
        <v>5681911</v>
      </c>
      <c r="O3" s="8"/>
      <c r="P3" s="7">
        <v>5118</v>
      </c>
      <c r="Q3" s="9">
        <v>19515</v>
      </c>
    </row>
    <row r="4" spans="1:27">
      <c r="A4" s="1">
        <v>2021</v>
      </c>
      <c r="B4" s="5">
        <v>471</v>
      </c>
      <c r="C4" s="4">
        <v>4238</v>
      </c>
      <c r="D4" s="4">
        <v>55818659</v>
      </c>
      <c r="E4" s="4">
        <v>54722661.109999999</v>
      </c>
      <c r="F4" s="6">
        <v>715087</v>
      </c>
      <c r="G4" s="6">
        <v>95328</v>
      </c>
      <c r="H4" s="6">
        <v>36324</v>
      </c>
      <c r="I4" s="6">
        <v>858162.40043545503</v>
      </c>
      <c r="J4" s="6">
        <v>839.89</v>
      </c>
      <c r="K4" s="6">
        <f>I4+H4+G4+F4-J4</f>
        <v>1704061.5104354552</v>
      </c>
      <c r="L4" s="6">
        <v>2686210</v>
      </c>
      <c r="M4" s="6">
        <f>(N4-L4)</f>
        <v>3737780</v>
      </c>
      <c r="N4" s="6">
        <v>6423990</v>
      </c>
      <c r="O4" s="8"/>
      <c r="P4" s="7">
        <v>21</v>
      </c>
      <c r="Q4" s="9">
        <v>19010</v>
      </c>
    </row>
    <row r="5" spans="1:27">
      <c r="A5" s="1">
        <v>2022</v>
      </c>
      <c r="B5" s="5">
        <v>461</v>
      </c>
      <c r="C5" s="4">
        <v>4042</v>
      </c>
      <c r="D5" s="4">
        <v>54100000</v>
      </c>
      <c r="E5" s="4"/>
      <c r="F5" s="6">
        <v>758121</v>
      </c>
      <c r="G5" s="6">
        <f>8.89*8760</f>
        <v>77876.400000000009</v>
      </c>
      <c r="H5" s="6">
        <f>4.7*8760</f>
        <v>41172</v>
      </c>
      <c r="I5" s="6">
        <v>824000</v>
      </c>
      <c r="J5" s="6">
        <v>611.53</v>
      </c>
      <c r="K5" s="6">
        <f>I5+H5+G5+F5-J5</f>
        <v>1700557.8699999999</v>
      </c>
      <c r="L5" s="6">
        <v>2549504.9504950498</v>
      </c>
      <c r="M5" s="6">
        <f>(N5-L5)</f>
        <v>2999645.0495049502</v>
      </c>
      <c r="N5" s="6">
        <v>5549150</v>
      </c>
      <c r="O5" s="6">
        <v>193000</v>
      </c>
      <c r="P5" s="7">
        <v>600</v>
      </c>
      <c r="Q5" s="9">
        <v>20790</v>
      </c>
    </row>
    <row r="6" spans="1:27">
      <c r="A6" s="1">
        <v>2023</v>
      </c>
      <c r="B6" s="5">
        <v>465</v>
      </c>
      <c r="C6" s="4">
        <v>4163</v>
      </c>
      <c r="D6" s="4"/>
      <c r="E6" s="4"/>
      <c r="F6" s="6">
        <f>'[1]Monatswerte - Emden und Leer'!O17</f>
        <v>610742.31000000006</v>
      </c>
      <c r="G6" s="6">
        <v>94608</v>
      </c>
      <c r="H6" s="6">
        <v>39332</v>
      </c>
      <c r="I6" s="6">
        <v>798036</v>
      </c>
      <c r="J6" s="6">
        <v>2689.87</v>
      </c>
      <c r="K6" s="6">
        <f>I6+H6+G6+F6-J6</f>
        <v>1540028.44</v>
      </c>
      <c r="L6" s="6">
        <v>2469170.792079208</v>
      </c>
      <c r="M6" s="6">
        <f>(N6-L6)</f>
        <v>2530879.207920792</v>
      </c>
      <c r="N6" s="6">
        <f>'[1]Monatswerte - Emden und Leer'!O77</f>
        <v>5000050</v>
      </c>
      <c r="O6" s="6">
        <v>159000</v>
      </c>
      <c r="P6" s="7">
        <v>4043</v>
      </c>
      <c r="Q6" s="9">
        <v>20410</v>
      </c>
      <c r="T6" s="9">
        <v>65</v>
      </c>
      <c r="U6" s="7">
        <v>61</v>
      </c>
    </row>
    <row r="7" spans="1:27">
      <c r="A7" s="1">
        <v>2024</v>
      </c>
      <c r="C7" s="4">
        <v>3898</v>
      </c>
      <c r="F7" s="6">
        <f>'[2]Jahreswerte - Emden'!$I$14</f>
        <v>612887.06999999995</v>
      </c>
      <c r="G7" s="6">
        <f>'[2]Jahreswerte - Emden'!$K$14</f>
        <v>90288</v>
      </c>
      <c r="H7" s="6">
        <f>'[2]Jahreswerte - Emden'!$L$14</f>
        <v>109658</v>
      </c>
      <c r="I7" s="6">
        <f>'[2]Jahreswerte - Emden'!$M$14</f>
        <v>669729.78415727266</v>
      </c>
      <c r="J7" s="6">
        <f>'[2]Jahreswerte - Emden'!$N$14</f>
        <v>11910</v>
      </c>
      <c r="K7" s="6">
        <f>'[2]Jahreswerte - Emden'!$O$14</f>
        <v>1470652.8541572727</v>
      </c>
      <c r="L7" s="6">
        <f>'[2]Jahreswerte - Emden'!$Q$14</f>
        <v>2072183.7381103735</v>
      </c>
      <c r="M7" s="6">
        <f>'[2]Jahreswerte - Emden'!$V$14</f>
        <v>2199589.2618896263</v>
      </c>
      <c r="N7" s="6">
        <f>'[2]Jahreswerte - Emden'!$X$14</f>
        <v>4271773</v>
      </c>
      <c r="O7" s="6"/>
      <c r="P7" s="7">
        <f>'[2]Jahreswerte - Emden'!$AC$14</f>
        <v>4852</v>
      </c>
      <c r="Q7" s="9"/>
      <c r="AA7" s="7"/>
    </row>
    <row r="8" spans="1:27">
      <c r="F8" s="3"/>
      <c r="G8" s="3"/>
      <c r="H8" s="3"/>
      <c r="I8" s="3"/>
      <c r="J8" s="3"/>
      <c r="K8" s="10"/>
      <c r="M8" s="3"/>
      <c r="N8" s="10"/>
      <c r="O8" s="3"/>
      <c r="AA8" s="7"/>
    </row>
    <row r="9" spans="1:27">
      <c r="K9" s="11"/>
      <c r="AA9" s="7"/>
    </row>
    <row r="10" spans="1:27">
      <c r="AA10" s="7"/>
    </row>
    <row r="11" spans="1:27">
      <c r="AA11" s="7"/>
    </row>
    <row r="12" spans="1:27">
      <c r="M12" s="12"/>
      <c r="AA12" s="7"/>
    </row>
    <row r="15" spans="1:27">
      <c r="M15" s="13"/>
    </row>
    <row r="16" spans="1:27">
      <c r="M16" s="13"/>
    </row>
    <row r="17" spans="6:15">
      <c r="M17" s="13"/>
    </row>
    <row r="18" spans="6:15">
      <c r="H18" s="14"/>
      <c r="I18" s="5"/>
      <c r="J18" s="5"/>
      <c r="K18" s="5"/>
      <c r="L18" s="5"/>
      <c r="M18" s="13"/>
    </row>
    <row r="19" spans="6:15">
      <c r="H19" s="14"/>
      <c r="I19" s="5"/>
      <c r="J19" s="5"/>
      <c r="K19" s="5"/>
      <c r="L19" s="5"/>
      <c r="M19" s="13"/>
    </row>
    <row r="20" spans="6:15">
      <c r="H20" s="14"/>
      <c r="I20" s="5"/>
      <c r="J20" s="5"/>
      <c r="K20" s="5"/>
      <c r="L20" s="5"/>
      <c r="M20" s="13"/>
    </row>
    <row r="21" spans="6:15">
      <c r="H21" s="14"/>
      <c r="I21" s="5"/>
      <c r="J21" s="5"/>
      <c r="K21" s="5"/>
      <c r="L21" s="5"/>
    </row>
    <row r="22" spans="6:15">
      <c r="H22" s="14"/>
      <c r="I22" s="5"/>
      <c r="J22" s="5"/>
      <c r="K22" s="5"/>
      <c r="L22" s="5"/>
    </row>
    <row r="23" spans="6:15">
      <c r="H23" s="14"/>
      <c r="I23" s="5"/>
      <c r="J23" s="5"/>
      <c r="K23" s="5"/>
      <c r="L23" s="5"/>
    </row>
    <row r="26" spans="6:15">
      <c r="F26" s="3"/>
      <c r="G26" s="3"/>
      <c r="H26" s="3"/>
      <c r="I26" s="3"/>
      <c r="J26" s="3"/>
      <c r="K26" s="3"/>
      <c r="L26" s="3"/>
      <c r="N26" s="3"/>
      <c r="O26" s="3"/>
    </row>
    <row r="27" spans="6:15">
      <c r="H27" s="3"/>
      <c r="I27" s="3"/>
      <c r="J27" s="3"/>
      <c r="K27" s="3"/>
      <c r="L27" s="3"/>
      <c r="O27" s="3"/>
    </row>
    <row r="28" spans="6:15">
      <c r="H28" s="3"/>
      <c r="I28" s="3"/>
      <c r="J28" s="3"/>
      <c r="K28" s="3"/>
      <c r="L28" s="3"/>
      <c r="O28" s="3"/>
    </row>
    <row r="29" spans="6:15">
      <c r="G29" s="3"/>
      <c r="H29" s="3"/>
      <c r="I29" s="3"/>
      <c r="J29" s="3"/>
      <c r="K29" s="3"/>
      <c r="L29" s="3"/>
      <c r="M29" s="3"/>
      <c r="N29" s="3"/>
      <c r="O29" s="3"/>
    </row>
    <row r="61" spans="12:12">
      <c r="L61" s="3"/>
    </row>
  </sheetData>
  <hyperlinks>
    <hyperlink ref="D2" r:id="rId1" xr:uid="{BC730998-393C-436C-9416-E7B7BFE0D1C7}"/>
    <hyperlink ref="C2" r:id="rId2" xr:uid="{118C78FE-529D-4A83-BBC8-3A5776077FCD}"/>
    <hyperlink ref="B2" r:id="rId3" xr:uid="{D61DC632-8599-4BA4-9396-A1BC63DD7B6B}"/>
    <hyperlink ref="E2" r:id="rId4" xr:uid="{87314002-D960-4347-B698-DBD1D7FB50A7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59400-A719-4C6A-BDDC-0E64E0875EEE}">
  <dimension ref="A1:AC38"/>
  <sheetViews>
    <sheetView workbookViewId="0">
      <selection activeCell="A8" sqref="A8"/>
    </sheetView>
  </sheetViews>
  <sheetFormatPr baseColWidth="10" defaultRowHeight="15"/>
  <cols>
    <col min="1" max="1" width="12.7109375" customWidth="1"/>
    <col min="2" max="18" width="11.85546875" customWidth="1"/>
  </cols>
  <sheetData>
    <row r="1" spans="1:29">
      <c r="B1" s="76" t="s">
        <v>225</v>
      </c>
      <c r="C1" s="76"/>
      <c r="D1" s="76"/>
      <c r="E1" s="76"/>
      <c r="F1" s="76"/>
      <c r="G1" s="76"/>
      <c r="H1" s="76"/>
      <c r="I1" s="76"/>
      <c r="J1" s="76"/>
      <c r="K1" s="76"/>
      <c r="L1" s="76"/>
      <c r="M1" s="63"/>
      <c r="N1" s="76" t="s">
        <v>223</v>
      </c>
      <c r="O1" s="76"/>
      <c r="P1" s="76"/>
      <c r="Q1" s="76"/>
      <c r="R1" s="76"/>
      <c r="S1" s="76"/>
      <c r="T1" s="63"/>
      <c r="U1" s="63"/>
      <c r="V1" s="63"/>
      <c r="W1" s="63"/>
      <c r="X1" s="63"/>
      <c r="Y1" s="63"/>
      <c r="Z1" s="63"/>
      <c r="AA1" s="63"/>
      <c r="AB1" s="63"/>
      <c r="AC1" s="63"/>
    </row>
    <row r="2" spans="1:29">
      <c r="B2" s="67" t="s">
        <v>64</v>
      </c>
      <c r="C2" s="65" t="s">
        <v>214</v>
      </c>
      <c r="D2" s="77" t="s">
        <v>224</v>
      </c>
      <c r="E2" s="77"/>
      <c r="F2" s="77" t="s">
        <v>215</v>
      </c>
      <c r="G2" s="77"/>
      <c r="H2" s="77" t="s">
        <v>81</v>
      </c>
      <c r="I2" s="77"/>
      <c r="J2" s="77"/>
      <c r="K2" s="65" t="s">
        <v>217</v>
      </c>
      <c r="L2" s="65" t="s">
        <v>218</v>
      </c>
      <c r="M2" s="65" t="s">
        <v>64</v>
      </c>
      <c r="N2" s="67" t="s">
        <v>215</v>
      </c>
      <c r="O2" s="67" t="s">
        <v>81</v>
      </c>
      <c r="P2" s="67" t="s">
        <v>216</v>
      </c>
      <c r="Q2" s="65" t="s">
        <v>220</v>
      </c>
      <c r="R2" s="65" t="s">
        <v>221</v>
      </c>
      <c r="Z2" s="63"/>
    </row>
    <row r="3" spans="1:29" ht="15.75">
      <c r="A3" s="68" t="s">
        <v>5</v>
      </c>
      <c r="B3" s="3" t="s">
        <v>56</v>
      </c>
      <c r="C3" s="3" t="s">
        <v>56</v>
      </c>
      <c r="D3" s="78" t="s">
        <v>56</v>
      </c>
      <c r="E3" s="78"/>
      <c r="F3" s="78" t="s">
        <v>56</v>
      </c>
      <c r="G3" s="78"/>
      <c r="H3" s="78" t="s">
        <v>56</v>
      </c>
      <c r="I3" s="78"/>
      <c r="J3" s="78"/>
      <c r="K3" t="s">
        <v>238</v>
      </c>
      <c r="L3" t="s">
        <v>239</v>
      </c>
      <c r="M3" s="3" t="s">
        <v>56</v>
      </c>
      <c r="N3" t="s">
        <v>235</v>
      </c>
      <c r="O3" t="s">
        <v>235</v>
      </c>
      <c r="P3" t="s">
        <v>219</v>
      </c>
      <c r="Q3" t="s">
        <v>236</v>
      </c>
      <c r="R3" t="s">
        <v>237</v>
      </c>
    </row>
    <row r="4" spans="1:29">
      <c r="A4" s="65">
        <v>2020</v>
      </c>
      <c r="B4" s="14">
        <v>103268</v>
      </c>
      <c r="D4" s="14">
        <v>250167</v>
      </c>
      <c r="K4">
        <f>52*1.1*105</f>
        <v>6006</v>
      </c>
      <c r="L4">
        <f>26*1.1*50</f>
        <v>1430</v>
      </c>
      <c r="Q4">
        <f t="shared" ref="Q4:Q7" si="0">12*1.1*105</f>
        <v>1386</v>
      </c>
      <c r="R4">
        <f t="shared" ref="R4:R7" si="1">12*1.1*50</f>
        <v>660</v>
      </c>
    </row>
    <row r="5" spans="1:29" ht="15.75">
      <c r="A5" s="65">
        <v>2021</v>
      </c>
      <c r="B5" s="14">
        <v>116459</v>
      </c>
      <c r="C5" s="64">
        <v>37312</v>
      </c>
      <c r="D5" s="14">
        <v>356901</v>
      </c>
      <c r="F5">
        <v>156</v>
      </c>
      <c r="G5">
        <v>273</v>
      </c>
      <c r="H5">
        <v>396.21</v>
      </c>
      <c r="I5">
        <v>678.18</v>
      </c>
      <c r="K5">
        <f t="shared" ref="K5:K7" si="2">52*1.1*105</f>
        <v>6006</v>
      </c>
      <c r="L5">
        <f t="shared" ref="L5:L7" si="3">26*1.1*50</f>
        <v>1430</v>
      </c>
      <c r="M5">
        <v>50700</v>
      </c>
      <c r="Q5">
        <f t="shared" si="0"/>
        <v>1386</v>
      </c>
      <c r="R5">
        <f t="shared" si="1"/>
        <v>660</v>
      </c>
    </row>
    <row r="6" spans="1:29" ht="15.75">
      <c r="A6" s="65">
        <v>2022</v>
      </c>
      <c r="B6" s="14">
        <v>122263</v>
      </c>
      <c r="C6" s="64">
        <v>84013</v>
      </c>
      <c r="D6" s="14">
        <v>235074</v>
      </c>
      <c r="F6">
        <v>353</v>
      </c>
      <c r="G6">
        <v>286</v>
      </c>
      <c r="H6">
        <v>800</v>
      </c>
      <c r="I6">
        <v>700</v>
      </c>
      <c r="J6">
        <v>770</v>
      </c>
      <c r="K6">
        <f t="shared" si="2"/>
        <v>6006</v>
      </c>
      <c r="L6">
        <f t="shared" si="3"/>
        <v>1430</v>
      </c>
      <c r="M6">
        <f>43936+8831</f>
        <v>52767</v>
      </c>
      <c r="N6">
        <v>84</v>
      </c>
      <c r="O6">
        <v>84</v>
      </c>
      <c r="Q6">
        <f t="shared" si="0"/>
        <v>1386</v>
      </c>
      <c r="R6">
        <f t="shared" si="1"/>
        <v>660</v>
      </c>
    </row>
    <row r="7" spans="1:29" ht="15.75">
      <c r="A7" s="65">
        <v>2023</v>
      </c>
      <c r="B7" s="14">
        <v>113464.95999999999</v>
      </c>
      <c r="C7" s="64">
        <v>91282.58</v>
      </c>
      <c r="D7" s="14">
        <f>256885</f>
        <v>256885</v>
      </c>
      <c r="E7" s="14">
        <v>6788</v>
      </c>
      <c r="F7">
        <v>101</v>
      </c>
      <c r="G7">
        <v>225</v>
      </c>
      <c r="J7">
        <v>438</v>
      </c>
      <c r="K7">
        <f t="shared" si="2"/>
        <v>6006</v>
      </c>
      <c r="L7">
        <f t="shared" si="3"/>
        <v>1430</v>
      </c>
      <c r="M7" s="2">
        <v>53423.59</v>
      </c>
      <c r="N7">
        <v>131</v>
      </c>
      <c r="O7">
        <v>84</v>
      </c>
      <c r="P7">
        <v>2289</v>
      </c>
      <c r="Q7">
        <f t="shared" si="0"/>
        <v>1386</v>
      </c>
      <c r="R7">
        <f t="shared" si="1"/>
        <v>660</v>
      </c>
    </row>
    <row r="8" spans="1:29">
      <c r="A8" s="65">
        <v>2024</v>
      </c>
      <c r="B8" s="14">
        <f>'[2]Jahreswerte - Leer'!$E$17</f>
        <v>99745.75</v>
      </c>
      <c r="C8" s="3">
        <f>'[2]Jahreswerte - Leer'!$M$17</f>
        <v>85268.55</v>
      </c>
      <c r="F8">
        <f>'[2]Jahreswerte - Leer'!$U$17</f>
        <v>73</v>
      </c>
      <c r="G8">
        <f>'[2]Jahreswerte - Leer'!$X$17</f>
        <v>183</v>
      </c>
    </row>
    <row r="9" spans="1:29">
      <c r="B9" s="14"/>
    </row>
    <row r="10" spans="1:29">
      <c r="B10" s="14"/>
    </row>
    <row r="11" spans="1:29">
      <c r="B11" s="14"/>
    </row>
    <row r="12" spans="1:29">
      <c r="B12" s="14"/>
    </row>
    <row r="13" spans="1:29">
      <c r="B13" s="14"/>
    </row>
    <row r="14" spans="1:29">
      <c r="B14" s="14"/>
    </row>
    <row r="15" spans="1:29">
      <c r="B15" s="14"/>
    </row>
    <row r="16" spans="1:29">
      <c r="B16" s="14"/>
    </row>
    <row r="17" spans="2:2">
      <c r="B17" s="14"/>
    </row>
    <row r="18" spans="2:2">
      <c r="B18" s="14"/>
    </row>
    <row r="19" spans="2:2">
      <c r="B19" s="14"/>
    </row>
    <row r="20" spans="2:2">
      <c r="B20" s="14"/>
    </row>
    <row r="21" spans="2:2">
      <c r="B21" s="14"/>
    </row>
    <row r="22" spans="2:2">
      <c r="B22" s="14"/>
    </row>
    <row r="23" spans="2:2">
      <c r="B23" s="14"/>
    </row>
    <row r="24" spans="2:2">
      <c r="B24" s="14"/>
    </row>
    <row r="25" spans="2:2">
      <c r="B25" s="14"/>
    </row>
    <row r="26" spans="2:2">
      <c r="B26" s="14"/>
    </row>
    <row r="27" spans="2:2">
      <c r="B27" s="14"/>
    </row>
    <row r="28" spans="2:2">
      <c r="B28" s="14"/>
    </row>
    <row r="29" spans="2:2">
      <c r="B29" s="14"/>
    </row>
    <row r="30" spans="2:2">
      <c r="B30" s="14"/>
    </row>
    <row r="31" spans="2:2">
      <c r="B31" s="14"/>
    </row>
    <row r="32" spans="2:2">
      <c r="B32" s="14"/>
    </row>
    <row r="33" spans="2:2">
      <c r="B33" s="14"/>
    </row>
    <row r="34" spans="2:2">
      <c r="B34" s="14"/>
    </row>
    <row r="35" spans="2:2">
      <c r="B35" s="14"/>
    </row>
    <row r="36" spans="2:2">
      <c r="B36" s="14"/>
    </row>
    <row r="37" spans="2:2">
      <c r="B37" s="14"/>
    </row>
    <row r="38" spans="2:2">
      <c r="B38" s="14"/>
    </row>
  </sheetData>
  <mergeCells count="8">
    <mergeCell ref="N1:S1"/>
    <mergeCell ref="F2:G2"/>
    <mergeCell ref="H2:J2"/>
    <mergeCell ref="H3:J3"/>
    <mergeCell ref="D3:E3"/>
    <mergeCell ref="F3:G3"/>
    <mergeCell ref="B1:L1"/>
    <mergeCell ref="D2:E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AC273-52A8-4C6B-82BE-4DDF4791C909}">
  <dimension ref="A1:AG114"/>
  <sheetViews>
    <sheetView topLeftCell="A16" workbookViewId="0">
      <selection activeCell="N56" sqref="N56"/>
    </sheetView>
  </sheetViews>
  <sheetFormatPr baseColWidth="10" defaultRowHeight="15"/>
  <cols>
    <col min="7" max="7" width="11.5703125" bestFit="1" customWidth="1"/>
    <col min="8" max="8" width="14.140625" bestFit="1" customWidth="1"/>
    <col min="9" max="9" width="14.140625" customWidth="1"/>
    <col min="10" max="10" width="14.42578125" customWidth="1"/>
    <col min="11" max="11" width="14.28515625" customWidth="1"/>
    <col min="12" max="12" width="13.140625" bestFit="1" customWidth="1"/>
    <col min="13" max="13" width="15" customWidth="1"/>
    <col min="14" max="14" width="15.7109375" customWidth="1"/>
    <col min="15" max="15" width="14" customWidth="1"/>
    <col min="16" max="17" width="14.7109375" customWidth="1"/>
    <col min="20" max="20" width="20.5703125" customWidth="1"/>
  </cols>
  <sheetData>
    <row r="1" spans="1:33">
      <c r="A1" t="s">
        <v>243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  <c r="H1" s="54" t="s">
        <v>121</v>
      </c>
      <c r="I1" s="54" t="s">
        <v>122</v>
      </c>
      <c r="J1" s="54" t="s">
        <v>123</v>
      </c>
      <c r="K1" s="54" t="s">
        <v>124</v>
      </c>
      <c r="L1" s="54" t="s">
        <v>120</v>
      </c>
      <c r="M1" s="54" t="s">
        <v>125</v>
      </c>
      <c r="N1" s="54" t="s">
        <v>126</v>
      </c>
      <c r="O1" s="54" t="s">
        <v>127</v>
      </c>
      <c r="P1" s="54" t="s">
        <v>128</v>
      </c>
      <c r="Q1" s="54" t="s">
        <v>120</v>
      </c>
      <c r="AC1" s="55"/>
      <c r="AD1" s="55"/>
      <c r="AE1" s="55"/>
      <c r="AF1" s="55"/>
      <c r="AG1" s="55"/>
    </row>
    <row r="2" spans="1:33">
      <c r="A2" t="s">
        <v>320</v>
      </c>
      <c r="B2" s="56">
        <v>9.9999999999999995E-8</v>
      </c>
      <c r="C2" s="70">
        <f>(32+311+81+6)/(655+61)*100</f>
        <v>60.055865921787714</v>
      </c>
      <c r="D2" s="57">
        <f>(142+19)/(309+55)*100</f>
        <v>44.230769230769226</v>
      </c>
      <c r="E2" s="57">
        <f>(201+35)/(398+63)*100</f>
        <v>51.193058568329718</v>
      </c>
      <c r="F2" s="57">
        <f>(280+63)/(564)*100</f>
        <v>60.815602836879435</v>
      </c>
      <c r="H2" s="56">
        <f>'Jahreswerte - Emden'!C$3*B2*2*C2/100*15</f>
        <v>7.4679469273743011E-3</v>
      </c>
      <c r="I2" s="56">
        <f>'Jahreswerte - Emden'!C$4*B2*2*D2/100*30</f>
        <v>1.1246999999999998E-2</v>
      </c>
      <c r="J2" s="56">
        <f>'Jahreswerte - Emden'!C$5*B2*2*E2/100*90</f>
        <v>3.7246021691973968E-2</v>
      </c>
      <c r="K2" s="56">
        <f>'Jahreswerte - Emden'!C$6*B2*2*F2/100*110</f>
        <v>5.5698578014184402E-2</v>
      </c>
      <c r="M2" s="56">
        <f>'Jahreswerte - Emden'!B$3*B2*2*C2/100*25</f>
        <v>1.3872905027932962E-3</v>
      </c>
      <c r="N2" s="56">
        <f>'Jahreswerte - Emden'!B$4*$B2*2*D2/100*50</f>
        <v>2.0832692307692306E-3</v>
      </c>
      <c r="O2" s="56">
        <f>'Jahreswerte - Emden'!B$5*$B2*2*E2/100*150</f>
        <v>7.0799999999999995E-3</v>
      </c>
      <c r="P2" s="56">
        <f>'Jahreswerte - Emden'!B$6*$B2*2*F2/100*184</f>
        <v>1.0406765957446809E-2</v>
      </c>
    </row>
    <row r="3" spans="1:33">
      <c r="A3" t="s">
        <v>321</v>
      </c>
      <c r="B3" s="56">
        <v>10</v>
      </c>
      <c r="C3" s="57">
        <f>(96+12)*$C$8/(426+36)</f>
        <v>9.3375897845171565</v>
      </c>
      <c r="D3" s="57">
        <f>(33+9)*D$8/(249)</f>
        <v>9.4068582020389258</v>
      </c>
      <c r="E3" s="57">
        <f>(52+14)*E$8/(299)</f>
        <v>10.773438576890431</v>
      </c>
      <c r="F3" s="57">
        <f>(30+4)*F$8/(221)</f>
        <v>6.0283687943262407</v>
      </c>
      <c r="H3" s="56">
        <f>'Jahreswerte - Emden'!C$3*B3*2*C3/100*15</f>
        <v>116112.92897047084</v>
      </c>
      <c r="I3" s="56">
        <f>'Jahreswerte - Emden'!C$4*B3*2*D3/100*30</f>
        <v>239197.59036144579</v>
      </c>
      <c r="J3" s="56">
        <f>'Jahreswerte - Emden'!C$5*B3*2*E3/100*90</f>
        <v>783832.29710024025</v>
      </c>
      <c r="K3" s="56">
        <f>'Jahreswerte - Emden'!C$6*B3*2*F3/100*110</f>
        <v>552114.1843971631</v>
      </c>
      <c r="M3" s="56">
        <f>'Jahreswerte - Emden'!B$3*B3*2*C3/100*25</f>
        <v>21569.832402234631</v>
      </c>
      <c r="N3" s="56">
        <f>'Jahreswerte - Emden'!B$4*$B3*2*D3/100*50</f>
        <v>44306.302131603341</v>
      </c>
      <c r="O3" s="56">
        <f>'Jahreswerte - Emden'!B$5*$B3*2*E3/100*150</f>
        <v>148996.65551839466</v>
      </c>
      <c r="P3" s="56">
        <f>'Jahreswerte - Emden'!B$6*$B3*2*F3/100*184</f>
        <v>103157.44680851063</v>
      </c>
      <c r="Q3" s="56"/>
    </row>
    <row r="4" spans="1:33">
      <c r="A4" t="s">
        <v>129</v>
      </c>
      <c r="B4" s="56">
        <v>35</v>
      </c>
      <c r="C4" s="57">
        <f>(155+7)*$C$8/(426+36)</f>
        <v>14.006384676775737</v>
      </c>
      <c r="D4" s="57">
        <f>(63+7)*D$8/(249)</f>
        <v>15.678097003398211</v>
      </c>
      <c r="E4" s="57">
        <f>(100+12)*E$8/(299)</f>
        <v>18.282198797147398</v>
      </c>
      <c r="F4" s="57">
        <f>(107+8)*F$8/(221)</f>
        <v>20.390070921985814</v>
      </c>
      <c r="H4" s="56">
        <f>'Jahreswerte - Emden'!C$3*B4*2*C4/100*15</f>
        <v>609592.87709497195</v>
      </c>
      <c r="I4" s="56">
        <f>'Jahreswerte - Emden'!C$4*B4*2*D4/100*30</f>
        <v>1395319.2771084339</v>
      </c>
      <c r="J4" s="56">
        <f>'Jahreswerte - Emden'!C$5*B4*2*E4/100*90</f>
        <v>4655488.7948983964</v>
      </c>
      <c r="K4" s="56">
        <f>'Jahreswerte - Emden'!C$6*B4*2*F4/100*110</f>
        <v>6536057.624113475</v>
      </c>
      <c r="M4" s="56">
        <f>'Jahreswerte - Emden'!B$3*B4*2*C4/100*25</f>
        <v>113241.62011173183</v>
      </c>
      <c r="N4" s="56">
        <f>'Jahreswerte - Emden'!B$4*$B4*2*D4/100*50</f>
        <v>258453.42910101954</v>
      </c>
      <c r="O4" s="56">
        <f>'Jahreswerte - Emden'!B$5*$B4*2*E4/100*150</f>
        <v>884949.83277591981</v>
      </c>
      <c r="P4" s="56">
        <f>'Jahreswerte - Emden'!B$6*$B4*2*F4/100*184</f>
        <v>1221202.1276595744</v>
      </c>
      <c r="Q4" s="56"/>
    </row>
    <row r="5" spans="1:33">
      <c r="A5" t="s">
        <v>130</v>
      </c>
      <c r="B5" s="56">
        <v>75</v>
      </c>
      <c r="C5" s="57">
        <f>(96+10)*$C$8/462</f>
        <v>9.164671455174247</v>
      </c>
      <c r="D5" s="57">
        <f>(46+8)*D$8/(249)</f>
        <v>12.094531974050048</v>
      </c>
      <c r="E5" s="57">
        <f>(63+7)*E$8/(299)</f>
        <v>11.426374248217122</v>
      </c>
      <c r="F5" s="57">
        <f>(53+4)*F$8/(221)</f>
        <v>10.106382978723403</v>
      </c>
      <c r="H5" s="56">
        <f>'Jahreswerte - Emden'!C$3*B5*2*C5/100*15</f>
        <v>854720.17158818827</v>
      </c>
      <c r="I5" s="56">
        <f>'Jahreswerte - Emden'!C$4*B5*2*D5/100*30</f>
        <v>2306548.1927710846</v>
      </c>
      <c r="J5" s="56">
        <f>'Jahreswerte - Emden'!C$5*B5*2*E5/100*90</f>
        <v>6235029.6360246371</v>
      </c>
      <c r="K5" s="56">
        <f>'Jahreswerte - Emden'!C$6*B5*2*F5/100*110</f>
        <v>6942023.9361702111</v>
      </c>
      <c r="M5" s="56">
        <f>'Jahreswerte - Emden'!B$3*B5*2*C5/100*25</f>
        <v>158777.93296089384</v>
      </c>
      <c r="N5" s="56">
        <f>'Jahreswerte - Emden'!B$4*$B5*2*D5/100*50</f>
        <v>427239.34198331792</v>
      </c>
      <c r="O5" s="56">
        <f>'Jahreswerte - Emden'!B$5*$B5*2*E5/100*150</f>
        <v>1185200.668896321</v>
      </c>
      <c r="P5" s="56">
        <f>'Jahreswerte - Emden'!B$6*$B5*2*F5/100*184</f>
        <v>1297053.1914893615</v>
      </c>
      <c r="Q5" s="56"/>
    </row>
    <row r="6" spans="1:33">
      <c r="A6" t="s">
        <v>131</v>
      </c>
      <c r="B6" s="56">
        <v>200</v>
      </c>
      <c r="C6" s="57">
        <f>60*$C$8/462</f>
        <v>5.1875498802873095</v>
      </c>
      <c r="D6" s="57">
        <f>(48+16)*D$8/(249)</f>
        <v>14.334260117392649</v>
      </c>
      <c r="E6" s="57">
        <f>(35+8)*E$8/(299)</f>
        <v>7.0190584667619467</v>
      </c>
      <c r="F6" s="57">
        <f>(11+3)*F$8/(221)</f>
        <v>2.4822695035460987</v>
      </c>
      <c r="H6" s="56">
        <f>'Jahreswerte - Emden'!C$3*B6*2*C6/100*15</f>
        <v>1290143.6552274537</v>
      </c>
      <c r="I6" s="56">
        <f>'Jahreswerte - Emden'!C$4*B6*2*D6/100*30</f>
        <v>7289831.3253012057</v>
      </c>
      <c r="J6" s="56">
        <f>'Jahreswerte - Emden'!C$5*B6*2*E6/100*90</f>
        <v>10213572.356154643</v>
      </c>
      <c r="K6" s="56">
        <f>'Jahreswerte - Emden'!C$6*B6*2*F6/100*110</f>
        <v>4546822.6950354595</v>
      </c>
      <c r="M6" s="56">
        <f>'Jahreswerte - Emden'!B$3*B6*2*C6/100*25</f>
        <v>239664.80446927366</v>
      </c>
      <c r="N6" s="56">
        <f>'Jahreswerte - Emden'!B$4*$B6*2*D6/100*50</f>
        <v>1350287.3030583875</v>
      </c>
      <c r="O6" s="56">
        <f>'Jahreswerte - Emden'!B$5*$B6*2*E6/100*150</f>
        <v>1941471.5719063545</v>
      </c>
      <c r="P6" s="56">
        <f>'Jahreswerte - Emden'!B$6*$B6*2*F6/100*184</f>
        <v>849531.91489361669</v>
      </c>
      <c r="Q6" s="56"/>
    </row>
    <row r="7" spans="1:33">
      <c r="A7" t="s">
        <v>133</v>
      </c>
      <c r="B7" s="56">
        <v>300</v>
      </c>
      <c r="C7" s="57">
        <f>26*$C$8/462</f>
        <v>2.2479382814578339</v>
      </c>
      <c r="D7" s="57">
        <f>(16+3)*D$8/(249)</f>
        <v>4.2554834723509432</v>
      </c>
      <c r="E7" s="57">
        <f>(8)*E$8/(299)</f>
        <v>1.3058713426533854</v>
      </c>
      <c r="F7" s="57">
        <f>(1)*F$8/(221)</f>
        <v>0.17730496453900707</v>
      </c>
      <c r="H7" s="56">
        <f>'Jahreswerte - Emden'!C$3*B7*2*C7/100*15</f>
        <v>838593.3758978449</v>
      </c>
      <c r="I7" s="56">
        <f>'Jahreswerte - Emden'!C$4*B7*2*D7/100*30</f>
        <v>3246253.0120481933</v>
      </c>
      <c r="J7" s="56">
        <f>'Jahreswerte - Emden'!C$5*B7*2*E7/100*90</f>
        <v>2850299.2621826916</v>
      </c>
      <c r="K7" s="56">
        <f>'Jahreswerte - Emden'!C$6*B7*2*F7/100*110</f>
        <v>487159.57446808502</v>
      </c>
      <c r="M7" s="56">
        <f>'Jahreswerte - Emden'!B$3*B7*2*C7/100*25</f>
        <v>155782.12290502788</v>
      </c>
      <c r="N7" s="56">
        <f>'Jahreswerte - Emden'!B$4*$B7*2*D7/100*50</f>
        <v>601299.81464318826</v>
      </c>
      <c r="O7" s="56">
        <f>'Jahreswerte - Emden'!B$5*$B7*2*E7/100*150</f>
        <v>541806.02006688958</v>
      </c>
      <c r="P7" s="56">
        <f>'Jahreswerte - Emden'!B$6*$B7*2*F7/100*184</f>
        <v>91021.276595744683</v>
      </c>
      <c r="Q7" s="56"/>
      <c r="U7" s="56"/>
    </row>
    <row r="8" spans="1:33">
      <c r="C8" s="58">
        <f>100-C2</f>
        <v>39.944134078212286</v>
      </c>
      <c r="D8" s="58">
        <f>100-D2</f>
        <v>55.769230769230774</v>
      </c>
      <c r="E8" s="58">
        <f>100-E2</f>
        <v>48.806941431670282</v>
      </c>
      <c r="F8" s="58">
        <f>100-F2</f>
        <v>39.184397163120565</v>
      </c>
      <c r="G8" s="1"/>
      <c r="H8" s="59">
        <f t="shared" ref="H8:K8" si="0">SUM(H2:H7)</f>
        <v>3709163.0162468762</v>
      </c>
      <c r="I8" s="59">
        <f t="shared" si="0"/>
        <v>14477149.408837363</v>
      </c>
      <c r="J8" s="59">
        <f t="shared" si="0"/>
        <v>24738222.383606628</v>
      </c>
      <c r="K8" s="59">
        <f t="shared" si="0"/>
        <v>19064178.06988297</v>
      </c>
      <c r="L8" s="59"/>
      <c r="M8" s="59">
        <f>SUM(M2:M7)</f>
        <v>689036.31423645234</v>
      </c>
      <c r="N8" s="59">
        <f t="shared" ref="N8:P8" si="1">SUM(N2:N7)</f>
        <v>2681586.193000786</v>
      </c>
      <c r="O8" s="59">
        <f t="shared" si="1"/>
        <v>4702424.7562438799</v>
      </c>
      <c r="P8" s="59">
        <f t="shared" si="1"/>
        <v>3561965.9678535736</v>
      </c>
      <c r="Q8" s="56"/>
    </row>
    <row r="9" spans="1:33">
      <c r="C9" s="58">
        <f>SUM(C2:C7)</f>
        <v>100</v>
      </c>
      <c r="D9" s="58">
        <f>SUM(D2:D7)</f>
        <v>100</v>
      </c>
      <c r="E9" s="58">
        <f>SUM(E2:E7)</f>
        <v>100.00000000000001</v>
      </c>
      <c r="F9" s="58">
        <f>SUM(F2:F7)</f>
        <v>99.999999999999986</v>
      </c>
    </row>
    <row r="11" spans="1:33">
      <c r="A11" t="s">
        <v>244</v>
      </c>
    </row>
    <row r="12" spans="1:33" ht="15.75">
      <c r="A12" s="61" t="s">
        <v>134</v>
      </c>
      <c r="B12" s="61" t="s">
        <v>135</v>
      </c>
      <c r="C12" s="61" t="s">
        <v>136</v>
      </c>
      <c r="D12" s="61" t="s">
        <v>137</v>
      </c>
      <c r="E12" t="s">
        <v>138</v>
      </c>
    </row>
    <row r="13" spans="1:33" ht="15.75">
      <c r="A13" s="61" t="s">
        <v>139</v>
      </c>
      <c r="B13" s="61">
        <v>30</v>
      </c>
      <c r="C13" s="62">
        <v>10019</v>
      </c>
      <c r="D13">
        <f t="shared" ref="D13:D17" si="2">B13*C13/1000</f>
        <v>300.57</v>
      </c>
      <c r="E13" s="53" t="s">
        <v>140</v>
      </c>
      <c r="F13" t="s">
        <v>120</v>
      </c>
      <c r="H13" s="2"/>
    </row>
    <row r="14" spans="1:33" ht="15.75">
      <c r="A14" s="61" t="s">
        <v>141</v>
      </c>
      <c r="B14" s="61">
        <v>164</v>
      </c>
      <c r="C14" s="62">
        <v>15516</v>
      </c>
      <c r="D14">
        <f t="shared" si="2"/>
        <v>2544.6239999999998</v>
      </c>
      <c r="E14" t="s">
        <v>142</v>
      </c>
      <c r="F14" t="s">
        <v>120</v>
      </c>
      <c r="H14" s="2"/>
    </row>
    <row r="15" spans="1:33" ht="15.75">
      <c r="A15" s="61" t="s">
        <v>143</v>
      </c>
      <c r="B15" s="61">
        <v>120</v>
      </c>
      <c r="C15" s="62">
        <v>21325</v>
      </c>
      <c r="D15">
        <f t="shared" si="2"/>
        <v>2559</v>
      </c>
      <c r="E15" t="s">
        <v>144</v>
      </c>
      <c r="F15" t="s">
        <v>120</v>
      </c>
      <c r="H15" s="2"/>
    </row>
    <row r="16" spans="1:33" ht="15.75">
      <c r="A16" s="61" t="s">
        <v>145</v>
      </c>
      <c r="B16" s="61">
        <v>0</v>
      </c>
      <c r="C16" s="62">
        <v>1871</v>
      </c>
      <c r="D16">
        <f t="shared" si="2"/>
        <v>0</v>
      </c>
      <c r="E16" t="s">
        <v>146</v>
      </c>
      <c r="F16" t="s">
        <v>120</v>
      </c>
      <c r="H16" s="2"/>
    </row>
    <row r="17" spans="1:8" ht="15.75">
      <c r="A17" s="61" t="s">
        <v>147</v>
      </c>
      <c r="B17" s="61">
        <v>185</v>
      </c>
      <c r="C17" s="62">
        <v>8370</v>
      </c>
      <c r="D17">
        <f t="shared" si="2"/>
        <v>1548.45</v>
      </c>
      <c r="E17" t="s">
        <v>148</v>
      </c>
      <c r="F17" t="s">
        <v>120</v>
      </c>
      <c r="H17" s="2"/>
    </row>
    <row r="18" spans="1:8" ht="15.75">
      <c r="A18" s="61" t="s">
        <v>257</v>
      </c>
      <c r="B18" s="61">
        <v>150</v>
      </c>
      <c r="C18" s="62">
        <v>30000</v>
      </c>
      <c r="D18">
        <f>B18*C18/1000</f>
        <v>4500</v>
      </c>
      <c r="E18" s="53" t="s">
        <v>260</v>
      </c>
      <c r="F18" t="s">
        <v>120</v>
      </c>
      <c r="H18" s="2"/>
    </row>
    <row r="19" spans="1:8" ht="15.75">
      <c r="A19" s="69" t="s">
        <v>132</v>
      </c>
      <c r="C19" s="69">
        <f>C17+C15+C14+C14</f>
        <v>60727</v>
      </c>
      <c r="D19" s="69">
        <f>SUM(D13:D18)</f>
        <v>11452.644</v>
      </c>
    </row>
    <row r="21" spans="1:8" ht="15.75">
      <c r="A21" s="61" t="s">
        <v>149</v>
      </c>
    </row>
    <row r="22" spans="1:8">
      <c r="A22" s="1" t="s">
        <v>58</v>
      </c>
      <c r="B22" s="1">
        <v>2023</v>
      </c>
      <c r="C22" s="1">
        <v>2024</v>
      </c>
    </row>
    <row r="23" spans="1:8">
      <c r="A23" t="s">
        <v>150</v>
      </c>
      <c r="B23">
        <v>308.07</v>
      </c>
      <c r="C23">
        <v>369.5</v>
      </c>
    </row>
    <row r="24" spans="1:8">
      <c r="A24" t="s">
        <v>151</v>
      </c>
      <c r="B24">
        <v>417.36</v>
      </c>
      <c r="C24">
        <v>118.62</v>
      </c>
    </row>
    <row r="25" spans="1:8">
      <c r="A25" t="s">
        <v>152</v>
      </c>
      <c r="B25">
        <v>364.6</v>
      </c>
      <c r="C25">
        <v>321.24</v>
      </c>
    </row>
    <row r="26" spans="1:8">
      <c r="A26" t="s">
        <v>153</v>
      </c>
      <c r="B26">
        <v>597.6</v>
      </c>
      <c r="C26" s="75">
        <f>1340.74/974.35*C27</f>
        <v>473.93407995073642</v>
      </c>
    </row>
    <row r="27" spans="1:8">
      <c r="A27" t="s">
        <v>154</v>
      </c>
      <c r="B27">
        <v>462.92</v>
      </c>
      <c r="C27">
        <v>344.42</v>
      </c>
    </row>
    <row r="28" spans="1:8">
      <c r="A28" t="s">
        <v>155</v>
      </c>
      <c r="B28">
        <v>344.08</v>
      </c>
      <c r="C28">
        <f>349.18+33.17</f>
        <v>382.35</v>
      </c>
    </row>
    <row r="29" spans="1:8">
      <c r="A29" t="s">
        <v>156</v>
      </c>
      <c r="B29">
        <v>140.08000000000001</v>
      </c>
      <c r="C29">
        <v>33.270000000000003</v>
      </c>
    </row>
    <row r="30" spans="1:8">
      <c r="A30" t="s">
        <v>157</v>
      </c>
      <c r="B30">
        <v>616.66</v>
      </c>
      <c r="C30">
        <v>212.99</v>
      </c>
    </row>
    <row r="31" spans="1:8">
      <c r="A31" t="s">
        <v>158</v>
      </c>
      <c r="B31">
        <v>548.98</v>
      </c>
      <c r="C31">
        <v>177.43</v>
      </c>
    </row>
    <row r="32" spans="1:8">
      <c r="A32" t="s">
        <v>159</v>
      </c>
      <c r="B32">
        <f>217.51</f>
        <v>217.51</v>
      </c>
      <c r="C32">
        <v>162.1</v>
      </c>
    </row>
    <row r="33" spans="1:3">
      <c r="A33" t="s">
        <v>160</v>
      </c>
      <c r="B33" s="57">
        <v>343.63</v>
      </c>
      <c r="C33">
        <v>322.58999999999997</v>
      </c>
    </row>
    <row r="34" spans="1:3">
      <c r="A34" t="s">
        <v>161</v>
      </c>
      <c r="B34">
        <f>42.23+43.02</f>
        <v>85.25</v>
      </c>
      <c r="C34">
        <v>186.51</v>
      </c>
    </row>
    <row r="36" spans="1:3">
      <c r="B36">
        <f>SUM(B23:B34)</f>
        <v>4446.74</v>
      </c>
      <c r="C36" s="75">
        <f>SUM(C23:C34)</f>
        <v>3104.9540799507367</v>
      </c>
    </row>
    <row r="38" spans="1:3">
      <c r="A38" s="1" t="s">
        <v>162</v>
      </c>
      <c r="B38" s="1">
        <v>2023</v>
      </c>
      <c r="C38" s="1">
        <v>2024</v>
      </c>
    </row>
    <row r="39" spans="1:3">
      <c r="A39" t="s">
        <v>150</v>
      </c>
      <c r="B39">
        <f>486.51-B23</f>
        <v>178.44</v>
      </c>
      <c r="C39">
        <f>256.9+24.17</f>
        <v>281.07</v>
      </c>
    </row>
    <row r="40" spans="1:3">
      <c r="A40" t="s">
        <v>151</v>
      </c>
      <c r="B40">
        <f>650.4-B24</f>
        <v>233.03999999999996</v>
      </c>
      <c r="C40">
        <f>409.46-C24</f>
        <v>290.83999999999997</v>
      </c>
    </row>
    <row r="41" spans="1:3">
      <c r="A41" t="s">
        <v>152</v>
      </c>
      <c r="B41">
        <f>605.88-B25</f>
        <v>241.27999999999997</v>
      </c>
      <c r="C41">
        <f>621.89-C25</f>
        <v>300.64999999999998</v>
      </c>
    </row>
    <row r="42" spans="1:3">
      <c r="A42" t="s">
        <v>153</v>
      </c>
      <c r="B42">
        <f>752.06-B26</f>
        <v>154.45999999999992</v>
      </c>
      <c r="C42" s="75">
        <f>1340.74/974.35*C43</f>
        <v>285.49980520346895</v>
      </c>
    </row>
    <row r="43" spans="1:3">
      <c r="A43" t="s">
        <v>154</v>
      </c>
      <c r="B43">
        <f>938.08-B27</f>
        <v>475.16</v>
      </c>
      <c r="C43">
        <f>551.9-C27</f>
        <v>207.47999999999996</v>
      </c>
    </row>
    <row r="44" spans="1:3">
      <c r="A44" t="s">
        <v>155</v>
      </c>
      <c r="B44">
        <f>813.92-B28</f>
        <v>469.84</v>
      </c>
      <c r="C44">
        <f>825.69-C28</f>
        <v>443.34000000000003</v>
      </c>
    </row>
    <row r="45" spans="1:3">
      <c r="A45" t="s">
        <v>156</v>
      </c>
      <c r="B45">
        <f>241.07-B29</f>
        <v>100.98999999999998</v>
      </c>
      <c r="C45">
        <v>0</v>
      </c>
    </row>
    <row r="46" spans="1:3">
      <c r="A46" t="s">
        <v>157</v>
      </c>
      <c r="B46">
        <f>886.84-B30</f>
        <v>270.18000000000006</v>
      </c>
      <c r="C46">
        <v>359.46</v>
      </c>
    </row>
    <row r="47" spans="1:3">
      <c r="A47" t="s">
        <v>158</v>
      </c>
      <c r="B47">
        <f>883.88-B31</f>
        <v>334.9</v>
      </c>
      <c r="C47">
        <f>151.44+54.3</f>
        <v>205.74</v>
      </c>
    </row>
    <row r="48" spans="1:3">
      <c r="A48" t="s">
        <v>159</v>
      </c>
      <c r="B48">
        <f>363.71-B32</f>
        <v>146.19999999999999</v>
      </c>
      <c r="C48">
        <v>188.29</v>
      </c>
    </row>
    <row r="49" spans="1:14">
      <c r="A49" t="s">
        <v>160</v>
      </c>
      <c r="B49" s="57">
        <f>664.06-B33</f>
        <v>320.42999999999995</v>
      </c>
      <c r="C49">
        <f>592.95-C33</f>
        <v>270.36000000000007</v>
      </c>
    </row>
    <row r="50" spans="1:14">
      <c r="A50" t="s">
        <v>161</v>
      </c>
      <c r="B50">
        <f>40.5+46.61+50.72+54.3</f>
        <v>192.13</v>
      </c>
      <c r="C50">
        <f>401.41-C34</f>
        <v>214.90000000000003</v>
      </c>
    </row>
    <row r="52" spans="1:14">
      <c r="B52">
        <f>SUM(B39:B50)</f>
        <v>3117.0499999999997</v>
      </c>
      <c r="C52" s="75">
        <f>SUM(C39:C50)</f>
        <v>3047.629805203469</v>
      </c>
    </row>
    <row r="54" spans="1:14">
      <c r="A54" s="1" t="s">
        <v>64</v>
      </c>
      <c r="B54" t="s">
        <v>150</v>
      </c>
      <c r="C54" t="s">
        <v>151</v>
      </c>
      <c r="D54" t="s">
        <v>152</v>
      </c>
      <c r="E54" t="s">
        <v>153</v>
      </c>
      <c r="F54" t="s">
        <v>154</v>
      </c>
      <c r="G54" t="s">
        <v>155</v>
      </c>
      <c r="H54" t="s">
        <v>156</v>
      </c>
      <c r="I54" t="s">
        <v>157</v>
      </c>
      <c r="J54" t="s">
        <v>158</v>
      </c>
      <c r="K54" t="s">
        <v>159</v>
      </c>
      <c r="L54" t="s">
        <v>160</v>
      </c>
      <c r="M54" t="s">
        <v>161</v>
      </c>
    </row>
    <row r="55" spans="1:14">
      <c r="A55">
        <v>2024</v>
      </c>
      <c r="B55">
        <v>0</v>
      </c>
      <c r="C55">
        <v>106.1</v>
      </c>
      <c r="D55">
        <f>101+58.75</f>
        <v>159.75</v>
      </c>
      <c r="E55">
        <f>144.59+63.04</f>
        <v>207.63</v>
      </c>
      <c r="F55">
        <v>84.6</v>
      </c>
      <c r="G55">
        <v>104.83</v>
      </c>
      <c r="H55">
        <v>60.68</v>
      </c>
      <c r="I55">
        <v>174.6</v>
      </c>
      <c r="J55">
        <v>0</v>
      </c>
      <c r="K55">
        <v>0</v>
      </c>
      <c r="L55">
        <v>51.85</v>
      </c>
      <c r="M55">
        <v>0</v>
      </c>
      <c r="N55">
        <f>SUM(B55:M55)</f>
        <v>950.04000000000008</v>
      </c>
    </row>
    <row r="65" spans="1:25">
      <c r="B65" s="57"/>
    </row>
    <row r="72" spans="1:25">
      <c r="A72" s="53" t="s">
        <v>226</v>
      </c>
    </row>
    <row r="73" spans="1:25">
      <c r="B73" t="s">
        <v>163</v>
      </c>
      <c r="H73" t="s">
        <v>164</v>
      </c>
      <c r="N73" t="s">
        <v>165</v>
      </c>
      <c r="U73" t="s">
        <v>166</v>
      </c>
    </row>
    <row r="74" spans="1:25">
      <c r="B74" t="s">
        <v>167</v>
      </c>
      <c r="C74" t="s">
        <v>168</v>
      </c>
      <c r="D74" t="s">
        <v>169</v>
      </c>
      <c r="E74" t="s">
        <v>170</v>
      </c>
      <c r="F74" t="s">
        <v>171</v>
      </c>
      <c r="H74" t="s">
        <v>167</v>
      </c>
      <c r="I74" t="s">
        <v>168</v>
      </c>
      <c r="J74" t="s">
        <v>169</v>
      </c>
      <c r="K74" t="s">
        <v>170</v>
      </c>
      <c r="L74" t="s">
        <v>171</v>
      </c>
      <c r="N74" t="s">
        <v>167</v>
      </c>
      <c r="O74" t="s">
        <v>168</v>
      </c>
      <c r="P74" t="s">
        <v>169</v>
      </c>
      <c r="Q74" t="s">
        <v>170</v>
      </c>
      <c r="R74" t="s">
        <v>171</v>
      </c>
      <c r="U74" t="s">
        <v>167</v>
      </c>
      <c r="V74" t="s">
        <v>168</v>
      </c>
      <c r="W74" t="s">
        <v>169</v>
      </c>
      <c r="X74" t="s">
        <v>170</v>
      </c>
      <c r="Y74" t="s">
        <v>171</v>
      </c>
    </row>
    <row r="75" spans="1:25">
      <c r="B75">
        <f>20+3+1</f>
        <v>24</v>
      </c>
      <c r="C75" t="s">
        <v>173</v>
      </c>
      <c r="D75">
        <v>1660</v>
      </c>
      <c r="E75">
        <f t="shared" ref="E75:E111" si="3">IF(D75&lt;1500,D75*B75*2,0)</f>
        <v>0</v>
      </c>
      <c r="F75">
        <f t="shared" ref="F75:F111" si="4">IF(D75&gt;1500,D75*B75*2,0)</f>
        <v>79680</v>
      </c>
      <c r="H75" t="s">
        <v>59</v>
      </c>
      <c r="I75" t="s">
        <v>172</v>
      </c>
      <c r="J75">
        <v>16444</v>
      </c>
      <c r="K75">
        <f t="shared" ref="K75:K111" si="5">IF(J75&lt;1500,J75*H75*2,0)</f>
        <v>0</v>
      </c>
      <c r="L75" t="e">
        <f t="shared" ref="L75:L111" si="6">IF(J75&gt;1500,J75*H75*2,0)</f>
        <v>#VALUE!</v>
      </c>
      <c r="N75">
        <f>26+2</f>
        <v>28</v>
      </c>
      <c r="O75" t="s">
        <v>173</v>
      </c>
      <c r="P75">
        <v>1660</v>
      </c>
      <c r="Q75">
        <f t="shared" ref="Q75:Q105" si="7">IF(P75&lt;1500,P75*N75*2,0)</f>
        <v>0</v>
      </c>
      <c r="R75">
        <f t="shared" ref="R75:R105" si="8">IF(P75&gt;1500,P75*N75*2,0)</f>
        <v>92960</v>
      </c>
      <c r="S75" t="s">
        <v>322</v>
      </c>
      <c r="U75" t="s">
        <v>59</v>
      </c>
      <c r="V75" t="s">
        <v>172</v>
      </c>
      <c r="W75">
        <v>16444</v>
      </c>
      <c r="X75">
        <f t="shared" ref="X75:X111" si="9">IF(W75&lt;1500,W75*U75*2,0)</f>
        <v>0</v>
      </c>
      <c r="Y75" t="e">
        <f t="shared" ref="Y75:Y111" si="10">IF(W75&gt;1500,W75*U75*2,0)</f>
        <v>#VALUE!</v>
      </c>
    </row>
    <row r="76" spans="1:25">
      <c r="B76">
        <f>2+1</f>
        <v>3</v>
      </c>
      <c r="C76" t="s">
        <v>177</v>
      </c>
      <c r="D76">
        <v>604</v>
      </c>
      <c r="E76">
        <f t="shared" si="3"/>
        <v>3624</v>
      </c>
      <c r="F76">
        <f t="shared" si="4"/>
        <v>0</v>
      </c>
      <c r="I76" t="s">
        <v>182</v>
      </c>
      <c r="J76">
        <v>10000</v>
      </c>
      <c r="K76">
        <f t="shared" si="5"/>
        <v>0</v>
      </c>
      <c r="L76">
        <f t="shared" si="6"/>
        <v>0</v>
      </c>
      <c r="N76">
        <v>8</v>
      </c>
      <c r="O76" t="s">
        <v>183</v>
      </c>
      <c r="P76">
        <v>753</v>
      </c>
      <c r="Q76">
        <f t="shared" si="7"/>
        <v>12048</v>
      </c>
      <c r="R76">
        <f t="shared" si="8"/>
        <v>0</v>
      </c>
      <c r="S76" t="s">
        <v>322</v>
      </c>
      <c r="V76" t="s">
        <v>182</v>
      </c>
      <c r="W76">
        <v>10000</v>
      </c>
      <c r="X76">
        <f t="shared" si="9"/>
        <v>0</v>
      </c>
      <c r="Y76">
        <f t="shared" si="10"/>
        <v>0</v>
      </c>
    </row>
    <row r="77" spans="1:25">
      <c r="B77">
        <f>11</f>
        <v>11</v>
      </c>
      <c r="C77" t="s">
        <v>194</v>
      </c>
      <c r="D77">
        <v>900</v>
      </c>
      <c r="E77">
        <f t="shared" si="3"/>
        <v>19800</v>
      </c>
      <c r="F77">
        <f t="shared" si="4"/>
        <v>0</v>
      </c>
      <c r="I77" t="s">
        <v>180</v>
      </c>
      <c r="J77">
        <v>10706</v>
      </c>
      <c r="K77">
        <f t="shared" si="5"/>
        <v>0</v>
      </c>
      <c r="L77">
        <f t="shared" si="6"/>
        <v>0</v>
      </c>
      <c r="N77">
        <f>6+1</f>
        <v>7</v>
      </c>
      <c r="O77" t="s">
        <v>181</v>
      </c>
      <c r="P77">
        <v>192</v>
      </c>
      <c r="Q77">
        <f t="shared" si="7"/>
        <v>2688</v>
      </c>
      <c r="R77">
        <f t="shared" si="8"/>
        <v>0</v>
      </c>
      <c r="S77" t="s">
        <v>322</v>
      </c>
      <c r="V77" t="s">
        <v>180</v>
      </c>
      <c r="W77">
        <v>10706</v>
      </c>
      <c r="X77">
        <f t="shared" si="9"/>
        <v>0</v>
      </c>
      <c r="Y77">
        <f t="shared" si="10"/>
        <v>0</v>
      </c>
    </row>
    <row r="78" spans="1:25">
      <c r="B78">
        <v>8</v>
      </c>
      <c r="C78" t="s">
        <v>180</v>
      </c>
      <c r="D78">
        <v>10706</v>
      </c>
      <c r="E78">
        <f t="shared" si="3"/>
        <v>0</v>
      </c>
      <c r="F78">
        <f t="shared" si="4"/>
        <v>171296</v>
      </c>
      <c r="I78" t="s">
        <v>184</v>
      </c>
      <c r="J78">
        <v>9756</v>
      </c>
      <c r="K78">
        <f t="shared" si="5"/>
        <v>0</v>
      </c>
      <c r="L78">
        <f t="shared" si="6"/>
        <v>0</v>
      </c>
      <c r="N78">
        <f>6</f>
        <v>6</v>
      </c>
      <c r="O78" t="s">
        <v>185</v>
      </c>
      <c r="P78">
        <v>5700</v>
      </c>
      <c r="Q78">
        <f t="shared" si="7"/>
        <v>0</v>
      </c>
      <c r="R78">
        <f t="shared" si="8"/>
        <v>68400</v>
      </c>
      <c r="V78" t="s">
        <v>184</v>
      </c>
      <c r="W78">
        <v>9756</v>
      </c>
      <c r="X78">
        <f t="shared" si="9"/>
        <v>0</v>
      </c>
      <c r="Y78">
        <f t="shared" si="10"/>
        <v>0</v>
      </c>
    </row>
    <row r="79" spans="1:25">
      <c r="B79">
        <f>9+1</f>
        <v>10</v>
      </c>
      <c r="C79" t="s">
        <v>175</v>
      </c>
      <c r="D79">
        <v>1305</v>
      </c>
      <c r="E79">
        <f t="shared" si="3"/>
        <v>26100</v>
      </c>
      <c r="F79">
        <f t="shared" si="4"/>
        <v>0</v>
      </c>
      <c r="I79" t="s">
        <v>178</v>
      </c>
      <c r="J79">
        <v>11150</v>
      </c>
      <c r="K79">
        <f t="shared" si="5"/>
        <v>0</v>
      </c>
      <c r="L79">
        <f t="shared" si="6"/>
        <v>0</v>
      </c>
      <c r="N79">
        <f>5+1</f>
        <v>6</v>
      </c>
      <c r="O79" t="s">
        <v>179</v>
      </c>
      <c r="P79">
        <v>340</v>
      </c>
      <c r="Q79">
        <f t="shared" si="7"/>
        <v>4080</v>
      </c>
      <c r="R79">
        <f t="shared" si="8"/>
        <v>0</v>
      </c>
      <c r="S79" t="s">
        <v>322</v>
      </c>
      <c r="V79" t="s">
        <v>178</v>
      </c>
      <c r="W79">
        <v>11150</v>
      </c>
      <c r="X79">
        <f t="shared" si="9"/>
        <v>0</v>
      </c>
      <c r="Y79">
        <f t="shared" si="10"/>
        <v>0</v>
      </c>
    </row>
    <row r="80" spans="1:25">
      <c r="B80">
        <v>8</v>
      </c>
      <c r="C80" t="s">
        <v>185</v>
      </c>
      <c r="D80">
        <v>5700</v>
      </c>
      <c r="E80">
        <f t="shared" si="3"/>
        <v>0</v>
      </c>
      <c r="F80">
        <f t="shared" si="4"/>
        <v>91200</v>
      </c>
      <c r="I80" t="s">
        <v>188</v>
      </c>
      <c r="J80">
        <v>9008</v>
      </c>
      <c r="K80">
        <f t="shared" si="5"/>
        <v>0</v>
      </c>
      <c r="L80">
        <f t="shared" si="6"/>
        <v>0</v>
      </c>
      <c r="N80">
        <f>5+2</f>
        <v>7</v>
      </c>
      <c r="O80" t="s">
        <v>189</v>
      </c>
      <c r="P80">
        <v>850</v>
      </c>
      <c r="Q80">
        <f t="shared" si="7"/>
        <v>11900</v>
      </c>
      <c r="R80">
        <f t="shared" si="8"/>
        <v>0</v>
      </c>
      <c r="S80" t="s">
        <v>322</v>
      </c>
      <c r="V80" t="s">
        <v>188</v>
      </c>
      <c r="W80">
        <v>9008</v>
      </c>
      <c r="X80">
        <f t="shared" si="9"/>
        <v>0</v>
      </c>
      <c r="Y80">
        <f t="shared" si="10"/>
        <v>0</v>
      </c>
    </row>
    <row r="81" spans="2:25">
      <c r="B81">
        <f>2+2</f>
        <v>4</v>
      </c>
      <c r="C81" t="s">
        <v>202</v>
      </c>
      <c r="D81">
        <v>1952</v>
      </c>
      <c r="E81">
        <f t="shared" si="3"/>
        <v>0</v>
      </c>
      <c r="F81">
        <f t="shared" si="4"/>
        <v>15616</v>
      </c>
      <c r="I81" t="s">
        <v>174</v>
      </c>
      <c r="J81">
        <v>13129</v>
      </c>
      <c r="K81">
        <f t="shared" si="5"/>
        <v>0</v>
      </c>
      <c r="L81">
        <f t="shared" si="6"/>
        <v>0</v>
      </c>
      <c r="N81">
        <f>5</f>
        <v>5</v>
      </c>
      <c r="O81" t="s">
        <v>175</v>
      </c>
      <c r="P81">
        <v>1305</v>
      </c>
      <c r="Q81">
        <f t="shared" si="7"/>
        <v>13050</v>
      </c>
      <c r="R81">
        <f t="shared" si="8"/>
        <v>0</v>
      </c>
      <c r="S81" t="s">
        <v>322</v>
      </c>
      <c r="V81" t="s">
        <v>174</v>
      </c>
      <c r="W81">
        <v>13129</v>
      </c>
      <c r="X81">
        <f t="shared" si="9"/>
        <v>0</v>
      </c>
      <c r="Y81">
        <f t="shared" si="10"/>
        <v>0</v>
      </c>
    </row>
    <row r="82" spans="2:25">
      <c r="B82">
        <v>7</v>
      </c>
      <c r="C82" t="s">
        <v>182</v>
      </c>
      <c r="D82">
        <v>10000</v>
      </c>
      <c r="E82">
        <f t="shared" si="3"/>
        <v>0</v>
      </c>
      <c r="F82">
        <f t="shared" si="4"/>
        <v>140000</v>
      </c>
      <c r="I82" t="s">
        <v>191</v>
      </c>
      <c r="J82">
        <v>7636</v>
      </c>
      <c r="K82">
        <f t="shared" si="5"/>
        <v>0</v>
      </c>
      <c r="L82">
        <f t="shared" si="6"/>
        <v>0</v>
      </c>
      <c r="N82">
        <v>4</v>
      </c>
      <c r="O82" t="s">
        <v>178</v>
      </c>
      <c r="P82">
        <v>11150</v>
      </c>
      <c r="Q82">
        <f t="shared" si="7"/>
        <v>0</v>
      </c>
      <c r="R82">
        <f t="shared" si="8"/>
        <v>89200</v>
      </c>
      <c r="V82" t="s">
        <v>191</v>
      </c>
      <c r="W82">
        <v>7636</v>
      </c>
      <c r="X82">
        <f t="shared" si="9"/>
        <v>0</v>
      </c>
      <c r="Y82">
        <f t="shared" si="10"/>
        <v>0</v>
      </c>
    </row>
    <row r="83" spans="2:25">
      <c r="B83">
        <f>1+6</f>
        <v>7</v>
      </c>
      <c r="C83" t="s">
        <v>189</v>
      </c>
      <c r="D83">
        <v>850</v>
      </c>
      <c r="E83">
        <f t="shared" si="3"/>
        <v>11900</v>
      </c>
      <c r="F83">
        <f t="shared" si="4"/>
        <v>0</v>
      </c>
      <c r="I83" t="s">
        <v>192</v>
      </c>
      <c r="J83">
        <v>6302</v>
      </c>
      <c r="K83">
        <f t="shared" si="5"/>
        <v>0</v>
      </c>
      <c r="L83">
        <f t="shared" si="6"/>
        <v>0</v>
      </c>
      <c r="N83">
        <v>4</v>
      </c>
      <c r="O83" t="s">
        <v>193</v>
      </c>
      <c r="P83">
        <v>2862</v>
      </c>
      <c r="Q83">
        <f t="shared" si="7"/>
        <v>0</v>
      </c>
      <c r="R83">
        <f t="shared" si="8"/>
        <v>22896</v>
      </c>
      <c r="S83" t="s">
        <v>322</v>
      </c>
      <c r="V83" t="s">
        <v>192</v>
      </c>
      <c r="W83">
        <v>6302</v>
      </c>
      <c r="X83">
        <f t="shared" si="9"/>
        <v>0</v>
      </c>
      <c r="Y83">
        <f t="shared" si="10"/>
        <v>0</v>
      </c>
    </row>
    <row r="84" spans="2:25">
      <c r="B84">
        <v>1</v>
      </c>
      <c r="C84" t="s">
        <v>190</v>
      </c>
      <c r="D84">
        <v>8370</v>
      </c>
      <c r="E84">
        <f t="shared" si="3"/>
        <v>0</v>
      </c>
      <c r="F84">
        <f t="shared" si="4"/>
        <v>16740</v>
      </c>
      <c r="I84" t="s">
        <v>177</v>
      </c>
      <c r="J84">
        <v>604</v>
      </c>
      <c r="K84">
        <f t="shared" si="5"/>
        <v>0</v>
      </c>
      <c r="L84">
        <f t="shared" si="6"/>
        <v>0</v>
      </c>
      <c r="N84">
        <f>4</f>
        <v>4</v>
      </c>
      <c r="O84" t="s">
        <v>187</v>
      </c>
      <c r="P84">
        <v>2450</v>
      </c>
      <c r="Q84">
        <f t="shared" si="7"/>
        <v>0</v>
      </c>
      <c r="R84">
        <f t="shared" si="8"/>
        <v>19600</v>
      </c>
      <c r="S84" t="s">
        <v>322</v>
      </c>
      <c r="V84" t="s">
        <v>177</v>
      </c>
      <c r="W84">
        <v>604</v>
      </c>
      <c r="X84">
        <f t="shared" si="9"/>
        <v>0</v>
      </c>
      <c r="Y84">
        <f t="shared" si="10"/>
        <v>0</v>
      </c>
    </row>
    <row r="85" spans="2:25">
      <c r="B85">
        <v>6</v>
      </c>
      <c r="C85" t="s">
        <v>206</v>
      </c>
      <c r="D85">
        <v>1140</v>
      </c>
      <c r="E85">
        <f t="shared" si="3"/>
        <v>13680</v>
      </c>
      <c r="F85">
        <f t="shared" si="4"/>
        <v>0</v>
      </c>
      <c r="I85" t="s">
        <v>185</v>
      </c>
      <c r="J85">
        <v>5700</v>
      </c>
      <c r="K85">
        <f t="shared" si="5"/>
        <v>0</v>
      </c>
      <c r="L85">
        <f t="shared" si="6"/>
        <v>0</v>
      </c>
      <c r="N85">
        <v>3</v>
      </c>
      <c r="O85" t="s">
        <v>192</v>
      </c>
      <c r="P85">
        <v>6302</v>
      </c>
      <c r="Q85">
        <f t="shared" si="7"/>
        <v>0</v>
      </c>
      <c r="R85">
        <f t="shared" si="8"/>
        <v>37812</v>
      </c>
      <c r="V85" t="s">
        <v>185</v>
      </c>
      <c r="W85">
        <v>5700</v>
      </c>
      <c r="X85">
        <f t="shared" si="9"/>
        <v>0</v>
      </c>
      <c r="Y85">
        <f t="shared" si="10"/>
        <v>0</v>
      </c>
    </row>
    <row r="86" spans="2:25">
      <c r="B86">
        <v>3</v>
      </c>
      <c r="C86" t="s">
        <v>172</v>
      </c>
      <c r="D86">
        <v>16444</v>
      </c>
      <c r="E86">
        <f t="shared" si="3"/>
        <v>0</v>
      </c>
      <c r="F86">
        <f t="shared" si="4"/>
        <v>98664</v>
      </c>
      <c r="I86" t="s">
        <v>198</v>
      </c>
      <c r="J86">
        <v>2045</v>
      </c>
      <c r="K86">
        <f t="shared" si="5"/>
        <v>0</v>
      </c>
      <c r="L86">
        <f t="shared" si="6"/>
        <v>0</v>
      </c>
      <c r="N86">
        <v>3</v>
      </c>
      <c r="O86" t="s">
        <v>199</v>
      </c>
      <c r="P86">
        <v>935</v>
      </c>
      <c r="Q86">
        <f t="shared" si="7"/>
        <v>5610</v>
      </c>
      <c r="R86">
        <f t="shared" si="8"/>
        <v>0</v>
      </c>
      <c r="S86" t="s">
        <v>322</v>
      </c>
      <c r="V86" t="s">
        <v>198</v>
      </c>
      <c r="W86">
        <v>2045</v>
      </c>
      <c r="X86">
        <f t="shared" si="9"/>
        <v>0</v>
      </c>
      <c r="Y86">
        <f t="shared" si="10"/>
        <v>0</v>
      </c>
    </row>
    <row r="87" spans="2:25">
      <c r="B87">
        <v>3</v>
      </c>
      <c r="C87" t="s">
        <v>200</v>
      </c>
      <c r="D87">
        <v>2026</v>
      </c>
      <c r="E87">
        <f t="shared" si="3"/>
        <v>0</v>
      </c>
      <c r="F87">
        <f t="shared" si="4"/>
        <v>12156</v>
      </c>
      <c r="I87" t="s">
        <v>200</v>
      </c>
      <c r="J87">
        <v>2026</v>
      </c>
      <c r="K87">
        <f t="shared" si="5"/>
        <v>0</v>
      </c>
      <c r="L87">
        <f t="shared" si="6"/>
        <v>0</v>
      </c>
      <c r="N87">
        <v>3</v>
      </c>
      <c r="O87" t="s">
        <v>201</v>
      </c>
      <c r="P87">
        <v>412</v>
      </c>
      <c r="Q87">
        <f t="shared" si="7"/>
        <v>2472</v>
      </c>
      <c r="R87">
        <f t="shared" si="8"/>
        <v>0</v>
      </c>
      <c r="S87" t="s">
        <v>322</v>
      </c>
      <c r="V87" t="s">
        <v>200</v>
      </c>
      <c r="W87">
        <v>2026</v>
      </c>
      <c r="X87">
        <f t="shared" si="9"/>
        <v>0</v>
      </c>
      <c r="Y87">
        <f t="shared" si="10"/>
        <v>0</v>
      </c>
    </row>
    <row r="88" spans="2:25">
      <c r="B88">
        <f>12+1</f>
        <v>13</v>
      </c>
      <c r="C88" t="s">
        <v>181</v>
      </c>
      <c r="D88">
        <v>192</v>
      </c>
      <c r="E88">
        <f t="shared" si="3"/>
        <v>4992</v>
      </c>
      <c r="F88">
        <f t="shared" si="4"/>
        <v>0</v>
      </c>
      <c r="I88" t="s">
        <v>176</v>
      </c>
      <c r="J88">
        <v>11539</v>
      </c>
      <c r="K88">
        <f t="shared" si="5"/>
        <v>0</v>
      </c>
      <c r="L88">
        <f t="shared" si="6"/>
        <v>0</v>
      </c>
      <c r="N88">
        <f>2+3</f>
        <v>5</v>
      </c>
      <c r="O88" t="s">
        <v>177</v>
      </c>
      <c r="P88">
        <v>604</v>
      </c>
      <c r="Q88">
        <f t="shared" si="7"/>
        <v>6040</v>
      </c>
      <c r="R88">
        <f t="shared" si="8"/>
        <v>0</v>
      </c>
      <c r="S88" t="s">
        <v>322</v>
      </c>
      <c r="V88" t="s">
        <v>176</v>
      </c>
      <c r="W88">
        <v>11539</v>
      </c>
      <c r="X88">
        <f t="shared" si="9"/>
        <v>0</v>
      </c>
      <c r="Y88">
        <f t="shared" si="10"/>
        <v>0</v>
      </c>
    </row>
    <row r="89" spans="2:25">
      <c r="B89">
        <f>3+2</f>
        <v>5</v>
      </c>
      <c r="C89" t="s">
        <v>208</v>
      </c>
      <c r="D89">
        <v>1320</v>
      </c>
      <c r="E89">
        <f t="shared" si="3"/>
        <v>13200</v>
      </c>
      <c r="F89">
        <f t="shared" si="4"/>
        <v>0</v>
      </c>
      <c r="I89" t="s">
        <v>193</v>
      </c>
      <c r="J89">
        <v>2862</v>
      </c>
      <c r="K89">
        <f t="shared" si="5"/>
        <v>0</v>
      </c>
      <c r="L89">
        <f t="shared" si="6"/>
        <v>0</v>
      </c>
      <c r="N89">
        <f>2</f>
        <v>2</v>
      </c>
      <c r="O89" t="s">
        <v>194</v>
      </c>
      <c r="P89">
        <v>900</v>
      </c>
      <c r="Q89">
        <f t="shared" si="7"/>
        <v>3600</v>
      </c>
      <c r="R89">
        <f t="shared" si="8"/>
        <v>0</v>
      </c>
      <c r="S89" t="s">
        <v>322</v>
      </c>
      <c r="V89" t="s">
        <v>193</v>
      </c>
      <c r="W89">
        <v>2862</v>
      </c>
      <c r="X89">
        <f t="shared" si="9"/>
        <v>0</v>
      </c>
      <c r="Y89">
        <f t="shared" si="10"/>
        <v>0</v>
      </c>
    </row>
    <row r="90" spans="2:25">
      <c r="B90">
        <f>2+1</f>
        <v>3</v>
      </c>
      <c r="C90" t="s">
        <v>210</v>
      </c>
      <c r="D90">
        <v>1182</v>
      </c>
      <c r="E90">
        <f t="shared" si="3"/>
        <v>7092</v>
      </c>
      <c r="F90">
        <f t="shared" si="4"/>
        <v>0</v>
      </c>
      <c r="I90" t="s">
        <v>202</v>
      </c>
      <c r="J90">
        <v>1952</v>
      </c>
      <c r="K90">
        <f t="shared" si="5"/>
        <v>0</v>
      </c>
      <c r="L90">
        <f t="shared" si="6"/>
        <v>0</v>
      </c>
      <c r="N90">
        <f>2+1</f>
        <v>3</v>
      </c>
      <c r="O90" t="s">
        <v>203</v>
      </c>
      <c r="P90">
        <v>930</v>
      </c>
      <c r="Q90">
        <f t="shared" si="7"/>
        <v>5580</v>
      </c>
      <c r="R90">
        <f t="shared" si="8"/>
        <v>0</v>
      </c>
      <c r="S90" t="s">
        <v>322</v>
      </c>
      <c r="V90" t="s">
        <v>202</v>
      </c>
      <c r="W90">
        <v>1952</v>
      </c>
      <c r="X90">
        <f t="shared" si="9"/>
        <v>0</v>
      </c>
      <c r="Y90">
        <f t="shared" si="10"/>
        <v>0</v>
      </c>
    </row>
    <row r="91" spans="2:25">
      <c r="B91">
        <v>3</v>
      </c>
      <c r="C91" t="s">
        <v>209</v>
      </c>
      <c r="D91">
        <v>1046</v>
      </c>
      <c r="E91">
        <f t="shared" si="3"/>
        <v>6276</v>
      </c>
      <c r="F91">
        <f t="shared" si="4"/>
        <v>0</v>
      </c>
      <c r="I91" t="s">
        <v>204</v>
      </c>
      <c r="J91">
        <v>1697</v>
      </c>
      <c r="K91">
        <f t="shared" si="5"/>
        <v>0</v>
      </c>
      <c r="L91">
        <f t="shared" si="6"/>
        <v>0</v>
      </c>
      <c r="N91">
        <v>2</v>
      </c>
      <c r="O91" t="s">
        <v>205</v>
      </c>
      <c r="P91">
        <v>545</v>
      </c>
      <c r="Q91">
        <f t="shared" si="7"/>
        <v>2180</v>
      </c>
      <c r="R91">
        <f t="shared" si="8"/>
        <v>0</v>
      </c>
      <c r="S91" t="s">
        <v>322</v>
      </c>
      <c r="V91" t="s">
        <v>204</v>
      </c>
      <c r="W91">
        <v>1697</v>
      </c>
      <c r="X91">
        <f t="shared" si="9"/>
        <v>0</v>
      </c>
      <c r="Y91">
        <f t="shared" si="10"/>
        <v>0</v>
      </c>
    </row>
    <row r="92" spans="2:25">
      <c r="B92">
        <v>3</v>
      </c>
      <c r="C92" t="s">
        <v>199</v>
      </c>
      <c r="D92">
        <v>935</v>
      </c>
      <c r="E92">
        <f t="shared" si="3"/>
        <v>5610</v>
      </c>
      <c r="F92">
        <f t="shared" si="4"/>
        <v>0</v>
      </c>
      <c r="I92" t="s">
        <v>173</v>
      </c>
      <c r="J92">
        <v>1660</v>
      </c>
      <c r="K92">
        <f t="shared" si="5"/>
        <v>0</v>
      </c>
      <c r="L92">
        <f t="shared" si="6"/>
        <v>0</v>
      </c>
      <c r="N92">
        <v>2</v>
      </c>
      <c r="O92" t="s">
        <v>206</v>
      </c>
      <c r="P92">
        <v>1140</v>
      </c>
      <c r="Q92">
        <f t="shared" si="7"/>
        <v>4560</v>
      </c>
      <c r="R92">
        <f t="shared" si="8"/>
        <v>0</v>
      </c>
      <c r="S92" t="s">
        <v>322</v>
      </c>
      <c r="V92" t="s">
        <v>173</v>
      </c>
      <c r="W92">
        <v>1660</v>
      </c>
      <c r="X92">
        <f t="shared" si="9"/>
        <v>0</v>
      </c>
      <c r="Y92">
        <f t="shared" si="10"/>
        <v>0</v>
      </c>
    </row>
    <row r="93" spans="2:25">
      <c r="B93">
        <f>3+2</f>
        <v>5</v>
      </c>
      <c r="C93" t="s">
        <v>183</v>
      </c>
      <c r="D93">
        <v>753</v>
      </c>
      <c r="E93">
        <f t="shared" si="3"/>
        <v>7530</v>
      </c>
      <c r="F93">
        <f t="shared" si="4"/>
        <v>0</v>
      </c>
      <c r="I93" t="s">
        <v>187</v>
      </c>
      <c r="J93">
        <v>2450</v>
      </c>
      <c r="K93">
        <f t="shared" si="5"/>
        <v>0</v>
      </c>
      <c r="L93">
        <f t="shared" si="6"/>
        <v>0</v>
      </c>
      <c r="N93">
        <f>1</f>
        <v>1</v>
      </c>
      <c r="O93" t="s">
        <v>195</v>
      </c>
      <c r="P93">
        <v>2051</v>
      </c>
      <c r="Q93">
        <f t="shared" si="7"/>
        <v>0</v>
      </c>
      <c r="R93">
        <f t="shared" si="8"/>
        <v>4102</v>
      </c>
      <c r="S93" t="s">
        <v>322</v>
      </c>
      <c r="V93" t="s">
        <v>187</v>
      </c>
      <c r="W93">
        <v>2450</v>
      </c>
      <c r="X93">
        <f t="shared" si="9"/>
        <v>0</v>
      </c>
      <c r="Y93">
        <f t="shared" si="10"/>
        <v>0</v>
      </c>
    </row>
    <row r="94" spans="2:25">
      <c r="B94">
        <v>3</v>
      </c>
      <c r="C94" t="s">
        <v>205</v>
      </c>
      <c r="D94">
        <v>545</v>
      </c>
      <c r="E94">
        <f t="shared" si="3"/>
        <v>3270</v>
      </c>
      <c r="F94">
        <f t="shared" si="4"/>
        <v>0</v>
      </c>
      <c r="I94" t="s">
        <v>197</v>
      </c>
      <c r="J94">
        <v>1623</v>
      </c>
      <c r="K94">
        <f t="shared" si="5"/>
        <v>0</v>
      </c>
      <c r="L94">
        <f t="shared" si="6"/>
        <v>0</v>
      </c>
      <c r="N94">
        <v>1</v>
      </c>
      <c r="O94" t="s">
        <v>182</v>
      </c>
      <c r="P94">
        <v>10000</v>
      </c>
      <c r="Q94">
        <f t="shared" si="7"/>
        <v>0</v>
      </c>
      <c r="R94">
        <f t="shared" si="8"/>
        <v>20000</v>
      </c>
      <c r="V94" t="s">
        <v>197</v>
      </c>
      <c r="W94">
        <v>1623</v>
      </c>
      <c r="X94">
        <f t="shared" si="9"/>
        <v>0</v>
      </c>
      <c r="Y94">
        <f t="shared" si="10"/>
        <v>0</v>
      </c>
    </row>
    <row r="95" spans="2:25">
      <c r="B95">
        <v>2</v>
      </c>
      <c r="C95" t="s">
        <v>178</v>
      </c>
      <c r="D95">
        <v>11150</v>
      </c>
      <c r="E95">
        <f t="shared" si="3"/>
        <v>0</v>
      </c>
      <c r="F95">
        <f t="shared" si="4"/>
        <v>44600</v>
      </c>
      <c r="H95" t="s">
        <v>59</v>
      </c>
      <c r="I95" t="s">
        <v>207</v>
      </c>
      <c r="J95">
        <v>1340</v>
      </c>
      <c r="K95" t="e">
        <f t="shared" si="5"/>
        <v>#VALUE!</v>
      </c>
      <c r="L95">
        <f t="shared" si="6"/>
        <v>0</v>
      </c>
      <c r="N95">
        <v>1</v>
      </c>
      <c r="O95" t="s">
        <v>202</v>
      </c>
      <c r="P95">
        <v>1952</v>
      </c>
      <c r="Q95">
        <f t="shared" si="7"/>
        <v>0</v>
      </c>
      <c r="R95">
        <f t="shared" si="8"/>
        <v>3904</v>
      </c>
      <c r="S95" t="s">
        <v>322</v>
      </c>
      <c r="U95" t="s">
        <v>59</v>
      </c>
      <c r="V95" t="s">
        <v>207</v>
      </c>
      <c r="W95">
        <v>1340</v>
      </c>
      <c r="X95" t="e">
        <f t="shared" si="9"/>
        <v>#VALUE!</v>
      </c>
      <c r="Y95">
        <f t="shared" si="10"/>
        <v>0</v>
      </c>
    </row>
    <row r="96" spans="2:25">
      <c r="B96">
        <v>2</v>
      </c>
      <c r="C96" t="s">
        <v>184</v>
      </c>
      <c r="D96">
        <v>9756</v>
      </c>
      <c r="E96">
        <f t="shared" si="3"/>
        <v>0</v>
      </c>
      <c r="F96">
        <f t="shared" si="4"/>
        <v>39024</v>
      </c>
      <c r="I96" t="s">
        <v>208</v>
      </c>
      <c r="J96">
        <v>1320</v>
      </c>
      <c r="K96">
        <f t="shared" si="5"/>
        <v>0</v>
      </c>
      <c r="L96">
        <f t="shared" si="6"/>
        <v>0</v>
      </c>
      <c r="N96">
        <v>1</v>
      </c>
      <c r="O96" t="s">
        <v>208</v>
      </c>
      <c r="P96">
        <v>1320</v>
      </c>
      <c r="Q96">
        <f t="shared" si="7"/>
        <v>2640</v>
      </c>
      <c r="R96">
        <f t="shared" si="8"/>
        <v>0</v>
      </c>
      <c r="S96" t="s">
        <v>322</v>
      </c>
      <c r="V96" t="s">
        <v>208</v>
      </c>
      <c r="W96">
        <v>1320</v>
      </c>
      <c r="X96">
        <f t="shared" si="9"/>
        <v>0</v>
      </c>
      <c r="Y96">
        <f t="shared" si="10"/>
        <v>0</v>
      </c>
    </row>
    <row r="97" spans="2:25">
      <c r="B97">
        <v>2</v>
      </c>
      <c r="C97" t="s">
        <v>186</v>
      </c>
      <c r="D97">
        <v>9308</v>
      </c>
      <c r="E97">
        <f t="shared" si="3"/>
        <v>0</v>
      </c>
      <c r="F97">
        <f t="shared" si="4"/>
        <v>37232</v>
      </c>
      <c r="I97" t="s">
        <v>175</v>
      </c>
      <c r="J97">
        <v>1305</v>
      </c>
      <c r="K97">
        <f t="shared" si="5"/>
        <v>0</v>
      </c>
      <c r="L97">
        <f t="shared" si="6"/>
        <v>0</v>
      </c>
      <c r="N97">
        <v>1</v>
      </c>
      <c r="O97" t="s">
        <v>209</v>
      </c>
      <c r="P97">
        <v>1046</v>
      </c>
      <c r="Q97">
        <f t="shared" si="7"/>
        <v>2092</v>
      </c>
      <c r="R97">
        <f t="shared" si="8"/>
        <v>0</v>
      </c>
      <c r="S97" t="s">
        <v>322</v>
      </c>
      <c r="V97" t="s">
        <v>175</v>
      </c>
      <c r="W97">
        <v>1305</v>
      </c>
      <c r="X97">
        <f t="shared" si="9"/>
        <v>0</v>
      </c>
      <c r="Y97">
        <f t="shared" si="10"/>
        <v>0</v>
      </c>
    </row>
    <row r="98" spans="2:25">
      <c r="B98">
        <v>2</v>
      </c>
      <c r="C98" t="s">
        <v>188</v>
      </c>
      <c r="D98">
        <v>9008</v>
      </c>
      <c r="E98">
        <f t="shared" si="3"/>
        <v>0</v>
      </c>
      <c r="F98">
        <f t="shared" si="4"/>
        <v>36032</v>
      </c>
      <c r="I98" t="s">
        <v>210</v>
      </c>
      <c r="J98">
        <v>1182</v>
      </c>
      <c r="K98">
        <f t="shared" si="5"/>
        <v>0</v>
      </c>
      <c r="L98">
        <f t="shared" si="6"/>
        <v>0</v>
      </c>
      <c r="N98">
        <v>1</v>
      </c>
      <c r="O98" t="s">
        <v>198</v>
      </c>
      <c r="P98">
        <v>2045</v>
      </c>
      <c r="Q98">
        <f t="shared" si="7"/>
        <v>0</v>
      </c>
      <c r="R98">
        <f t="shared" si="8"/>
        <v>4090</v>
      </c>
      <c r="S98" t="s">
        <v>322</v>
      </c>
      <c r="V98" t="s">
        <v>210</v>
      </c>
      <c r="W98">
        <v>1182</v>
      </c>
      <c r="X98">
        <f t="shared" si="9"/>
        <v>0</v>
      </c>
      <c r="Y98">
        <f t="shared" si="10"/>
        <v>0</v>
      </c>
    </row>
    <row r="99" spans="2:25">
      <c r="B99">
        <v>2</v>
      </c>
      <c r="C99" t="s">
        <v>192</v>
      </c>
      <c r="D99">
        <v>6302</v>
      </c>
      <c r="E99">
        <f t="shared" si="3"/>
        <v>0</v>
      </c>
      <c r="F99">
        <f t="shared" si="4"/>
        <v>25208</v>
      </c>
      <c r="I99" t="s">
        <v>206</v>
      </c>
      <c r="J99">
        <v>1140</v>
      </c>
      <c r="K99">
        <f t="shared" si="5"/>
        <v>0</v>
      </c>
      <c r="L99">
        <f t="shared" si="6"/>
        <v>0</v>
      </c>
      <c r="N99">
        <v>1</v>
      </c>
      <c r="O99" t="s">
        <v>211</v>
      </c>
      <c r="P99">
        <v>7331</v>
      </c>
      <c r="Q99">
        <f t="shared" si="7"/>
        <v>0</v>
      </c>
      <c r="R99">
        <f t="shared" si="8"/>
        <v>14662</v>
      </c>
      <c r="V99" t="s">
        <v>206</v>
      </c>
      <c r="W99">
        <v>1140</v>
      </c>
      <c r="X99">
        <f t="shared" si="9"/>
        <v>0</v>
      </c>
      <c r="Y99">
        <f t="shared" si="10"/>
        <v>0</v>
      </c>
    </row>
    <row r="100" spans="2:25">
      <c r="B100">
        <f>1</f>
        <v>1</v>
      </c>
      <c r="C100" t="s">
        <v>204</v>
      </c>
      <c r="D100">
        <v>1697</v>
      </c>
      <c r="E100">
        <f t="shared" si="3"/>
        <v>0</v>
      </c>
      <c r="F100">
        <f t="shared" si="4"/>
        <v>3394</v>
      </c>
      <c r="I100" t="s">
        <v>209</v>
      </c>
      <c r="J100">
        <v>1046</v>
      </c>
      <c r="K100">
        <f t="shared" si="5"/>
        <v>0</v>
      </c>
      <c r="L100">
        <f t="shared" si="6"/>
        <v>0</v>
      </c>
      <c r="N100">
        <v>1</v>
      </c>
      <c r="O100" t="s">
        <v>212</v>
      </c>
      <c r="P100">
        <v>3289</v>
      </c>
      <c r="Q100">
        <f t="shared" si="7"/>
        <v>0</v>
      </c>
      <c r="R100">
        <f t="shared" si="8"/>
        <v>6578</v>
      </c>
      <c r="V100" t="s">
        <v>209</v>
      </c>
      <c r="W100">
        <v>1046</v>
      </c>
      <c r="X100">
        <f t="shared" si="9"/>
        <v>0</v>
      </c>
      <c r="Y100">
        <f t="shared" si="10"/>
        <v>0</v>
      </c>
    </row>
    <row r="101" spans="2:25">
      <c r="B101">
        <f>6</f>
        <v>6</v>
      </c>
      <c r="C101" t="s">
        <v>187</v>
      </c>
      <c r="D101">
        <v>2450</v>
      </c>
      <c r="E101">
        <f t="shared" si="3"/>
        <v>0</v>
      </c>
      <c r="F101">
        <f t="shared" si="4"/>
        <v>29400</v>
      </c>
      <c r="I101" t="s">
        <v>190</v>
      </c>
      <c r="J101">
        <v>8370</v>
      </c>
      <c r="K101">
        <f t="shared" si="5"/>
        <v>0</v>
      </c>
      <c r="L101">
        <f t="shared" si="6"/>
        <v>0</v>
      </c>
      <c r="N101">
        <v>0</v>
      </c>
      <c r="O101" t="s">
        <v>191</v>
      </c>
      <c r="P101">
        <v>7636</v>
      </c>
      <c r="Q101">
        <f t="shared" si="7"/>
        <v>0</v>
      </c>
      <c r="R101">
        <f t="shared" si="8"/>
        <v>0</v>
      </c>
      <c r="V101" t="s">
        <v>190</v>
      </c>
      <c r="W101">
        <v>8370</v>
      </c>
      <c r="X101">
        <f t="shared" si="9"/>
        <v>0</v>
      </c>
      <c r="Y101">
        <f t="shared" si="10"/>
        <v>0</v>
      </c>
    </row>
    <row r="102" spans="2:25">
      <c r="B102">
        <v>2</v>
      </c>
      <c r="C102" t="s">
        <v>213</v>
      </c>
      <c r="D102">
        <v>619</v>
      </c>
      <c r="E102">
        <f t="shared" si="3"/>
        <v>2476</v>
      </c>
      <c r="F102">
        <f t="shared" si="4"/>
        <v>0</v>
      </c>
      <c r="I102" t="s">
        <v>194</v>
      </c>
      <c r="J102">
        <v>900</v>
      </c>
      <c r="K102">
        <f t="shared" si="5"/>
        <v>0</v>
      </c>
      <c r="L102">
        <f t="shared" si="6"/>
        <v>0</v>
      </c>
      <c r="N102">
        <v>1</v>
      </c>
      <c r="O102" t="s">
        <v>200</v>
      </c>
      <c r="P102">
        <v>2026</v>
      </c>
      <c r="Q102">
        <f t="shared" si="7"/>
        <v>0</v>
      </c>
      <c r="R102">
        <f t="shared" si="8"/>
        <v>4052</v>
      </c>
      <c r="S102" t="s">
        <v>322</v>
      </c>
      <c r="V102" t="s">
        <v>194</v>
      </c>
      <c r="W102">
        <v>900</v>
      </c>
      <c r="X102">
        <f t="shared" si="9"/>
        <v>0</v>
      </c>
      <c r="Y102">
        <f t="shared" si="10"/>
        <v>0</v>
      </c>
    </row>
    <row r="103" spans="2:25">
      <c r="B103">
        <v>1</v>
      </c>
      <c r="C103" t="s">
        <v>174</v>
      </c>
      <c r="D103">
        <v>13129</v>
      </c>
      <c r="E103">
        <f t="shared" si="3"/>
        <v>0</v>
      </c>
      <c r="F103">
        <f t="shared" si="4"/>
        <v>26258</v>
      </c>
      <c r="I103" t="s">
        <v>183</v>
      </c>
      <c r="J103">
        <v>753</v>
      </c>
      <c r="K103">
        <f t="shared" si="5"/>
        <v>0</v>
      </c>
      <c r="L103">
        <f t="shared" si="6"/>
        <v>0</v>
      </c>
      <c r="N103">
        <f>1</f>
        <v>1</v>
      </c>
      <c r="O103" t="s">
        <v>197</v>
      </c>
      <c r="P103">
        <v>1623</v>
      </c>
      <c r="Q103">
        <f t="shared" si="7"/>
        <v>0</v>
      </c>
      <c r="R103">
        <f t="shared" si="8"/>
        <v>3246</v>
      </c>
      <c r="S103" t="s">
        <v>322</v>
      </c>
      <c r="V103" t="s">
        <v>183</v>
      </c>
      <c r="W103">
        <v>753</v>
      </c>
      <c r="X103">
        <f t="shared" si="9"/>
        <v>0</v>
      </c>
      <c r="Y103">
        <f t="shared" si="10"/>
        <v>0</v>
      </c>
    </row>
    <row r="104" spans="2:25">
      <c r="B104">
        <v>1</v>
      </c>
      <c r="C104" t="s">
        <v>176</v>
      </c>
      <c r="D104">
        <v>11539</v>
      </c>
      <c r="E104">
        <f t="shared" si="3"/>
        <v>0</v>
      </c>
      <c r="F104">
        <f t="shared" si="4"/>
        <v>23078</v>
      </c>
      <c r="I104" t="s">
        <v>213</v>
      </c>
      <c r="J104">
        <v>619</v>
      </c>
      <c r="K104">
        <f t="shared" si="5"/>
        <v>0</v>
      </c>
      <c r="L104">
        <f t="shared" si="6"/>
        <v>0</v>
      </c>
      <c r="N104">
        <v>3</v>
      </c>
      <c r="O104" t="s">
        <v>262</v>
      </c>
      <c r="P104">
        <v>1050</v>
      </c>
      <c r="Q104">
        <f t="shared" si="7"/>
        <v>6300</v>
      </c>
      <c r="R104">
        <f t="shared" si="8"/>
        <v>0</v>
      </c>
      <c r="S104" t="s">
        <v>322</v>
      </c>
      <c r="V104" t="s">
        <v>213</v>
      </c>
      <c r="W104">
        <v>619</v>
      </c>
      <c r="X104">
        <f t="shared" si="9"/>
        <v>0</v>
      </c>
      <c r="Y104">
        <f t="shared" si="10"/>
        <v>0</v>
      </c>
    </row>
    <row r="105" spans="2:25">
      <c r="B105">
        <v>1</v>
      </c>
      <c r="C105" t="s">
        <v>193</v>
      </c>
      <c r="D105">
        <v>2862</v>
      </c>
      <c r="E105">
        <f t="shared" si="3"/>
        <v>0</v>
      </c>
      <c r="F105">
        <f t="shared" si="4"/>
        <v>5724</v>
      </c>
      <c r="I105" t="s">
        <v>205</v>
      </c>
      <c r="J105">
        <v>545</v>
      </c>
      <c r="K105">
        <f t="shared" si="5"/>
        <v>0</v>
      </c>
      <c r="L105">
        <f t="shared" si="6"/>
        <v>0</v>
      </c>
      <c r="N105">
        <v>0</v>
      </c>
      <c r="O105" t="s">
        <v>186</v>
      </c>
      <c r="P105">
        <v>9308</v>
      </c>
      <c r="Q105">
        <f t="shared" si="7"/>
        <v>0</v>
      </c>
      <c r="R105">
        <f t="shared" si="8"/>
        <v>0</v>
      </c>
      <c r="V105" t="s">
        <v>205</v>
      </c>
      <c r="W105">
        <v>545</v>
      </c>
      <c r="X105">
        <f t="shared" si="9"/>
        <v>0</v>
      </c>
      <c r="Y105">
        <f t="shared" si="10"/>
        <v>0</v>
      </c>
    </row>
    <row r="106" spans="2:25">
      <c r="B106">
        <f>1</f>
        <v>1</v>
      </c>
      <c r="C106" t="s">
        <v>196</v>
      </c>
      <c r="D106">
        <v>2051</v>
      </c>
      <c r="E106">
        <f t="shared" si="3"/>
        <v>0</v>
      </c>
      <c r="F106">
        <f t="shared" si="4"/>
        <v>4102</v>
      </c>
      <c r="I106" t="s">
        <v>196</v>
      </c>
      <c r="J106">
        <v>2051</v>
      </c>
      <c r="K106">
        <f t="shared" si="5"/>
        <v>0</v>
      </c>
      <c r="L106">
        <f t="shared" si="6"/>
        <v>0</v>
      </c>
      <c r="V106" t="s">
        <v>196</v>
      </c>
      <c r="W106">
        <v>2051</v>
      </c>
      <c r="X106">
        <f t="shared" si="9"/>
        <v>0</v>
      </c>
      <c r="Y106">
        <f t="shared" si="10"/>
        <v>0</v>
      </c>
    </row>
    <row r="107" spans="2:25">
      <c r="B107">
        <v>1</v>
      </c>
      <c r="C107" t="s">
        <v>198</v>
      </c>
      <c r="D107">
        <v>2045</v>
      </c>
      <c r="E107">
        <f t="shared" si="3"/>
        <v>0</v>
      </c>
      <c r="F107">
        <f t="shared" si="4"/>
        <v>4090</v>
      </c>
      <c r="I107" t="s">
        <v>179</v>
      </c>
      <c r="J107">
        <v>340</v>
      </c>
      <c r="K107">
        <f t="shared" si="5"/>
        <v>0</v>
      </c>
      <c r="L107">
        <f t="shared" si="6"/>
        <v>0</v>
      </c>
      <c r="V107" t="s">
        <v>179</v>
      </c>
      <c r="W107">
        <v>340</v>
      </c>
      <c r="X107">
        <f t="shared" si="9"/>
        <v>0</v>
      </c>
      <c r="Y107">
        <f t="shared" si="10"/>
        <v>0</v>
      </c>
    </row>
    <row r="108" spans="2:25">
      <c r="B108">
        <f>1</f>
        <v>1</v>
      </c>
      <c r="C108" t="s">
        <v>179</v>
      </c>
      <c r="D108">
        <v>340</v>
      </c>
      <c r="E108">
        <f t="shared" si="3"/>
        <v>680</v>
      </c>
      <c r="F108">
        <f t="shared" si="4"/>
        <v>0</v>
      </c>
      <c r="I108" t="s">
        <v>189</v>
      </c>
      <c r="J108">
        <v>850</v>
      </c>
      <c r="K108">
        <f t="shared" si="5"/>
        <v>0</v>
      </c>
      <c r="L108">
        <f t="shared" si="6"/>
        <v>0</v>
      </c>
      <c r="V108" t="s">
        <v>189</v>
      </c>
      <c r="W108">
        <v>850</v>
      </c>
      <c r="X108">
        <f t="shared" si="9"/>
        <v>0</v>
      </c>
      <c r="Y108">
        <f t="shared" si="10"/>
        <v>0</v>
      </c>
    </row>
    <row r="109" spans="2:25">
      <c r="B109">
        <v>0</v>
      </c>
      <c r="C109" t="s">
        <v>191</v>
      </c>
      <c r="D109">
        <v>7636</v>
      </c>
      <c r="E109">
        <f t="shared" si="3"/>
        <v>0</v>
      </c>
      <c r="F109">
        <f t="shared" si="4"/>
        <v>0</v>
      </c>
      <c r="I109" t="s">
        <v>186</v>
      </c>
      <c r="J109">
        <v>9308</v>
      </c>
      <c r="K109">
        <f t="shared" si="5"/>
        <v>0</v>
      </c>
      <c r="L109">
        <f t="shared" si="6"/>
        <v>0</v>
      </c>
      <c r="V109" t="s">
        <v>186</v>
      </c>
      <c r="W109">
        <v>9308</v>
      </c>
      <c r="X109">
        <f t="shared" si="9"/>
        <v>0</v>
      </c>
      <c r="Y109">
        <f t="shared" si="10"/>
        <v>0</v>
      </c>
    </row>
    <row r="110" spans="2:25">
      <c r="B110">
        <v>0</v>
      </c>
      <c r="C110" t="s">
        <v>197</v>
      </c>
      <c r="D110">
        <v>1623</v>
      </c>
      <c r="E110">
        <f t="shared" si="3"/>
        <v>0</v>
      </c>
      <c r="F110">
        <f t="shared" si="4"/>
        <v>0</v>
      </c>
      <c r="I110" t="s">
        <v>181</v>
      </c>
      <c r="J110">
        <v>192</v>
      </c>
      <c r="K110">
        <f t="shared" si="5"/>
        <v>0</v>
      </c>
      <c r="L110">
        <f t="shared" si="6"/>
        <v>0</v>
      </c>
      <c r="V110" t="s">
        <v>181</v>
      </c>
      <c r="W110">
        <v>192</v>
      </c>
      <c r="X110">
        <f t="shared" si="9"/>
        <v>0</v>
      </c>
      <c r="Y110">
        <f t="shared" si="10"/>
        <v>0</v>
      </c>
    </row>
    <row r="111" spans="2:25">
      <c r="B111">
        <v>0</v>
      </c>
      <c r="C111" t="s">
        <v>207</v>
      </c>
      <c r="D111">
        <v>1340</v>
      </c>
      <c r="E111">
        <f t="shared" si="3"/>
        <v>0</v>
      </c>
      <c r="F111">
        <f t="shared" si="4"/>
        <v>0</v>
      </c>
      <c r="I111" t="s">
        <v>199</v>
      </c>
      <c r="J111">
        <v>935</v>
      </c>
      <c r="K111">
        <f t="shared" si="5"/>
        <v>0</v>
      </c>
      <c r="L111">
        <f t="shared" si="6"/>
        <v>0</v>
      </c>
      <c r="V111" t="s">
        <v>199</v>
      </c>
      <c r="W111">
        <v>935</v>
      </c>
      <c r="X111">
        <f t="shared" si="9"/>
        <v>0</v>
      </c>
      <c r="Y111">
        <f t="shared" si="10"/>
        <v>0</v>
      </c>
    </row>
    <row r="112" spans="2:25">
      <c r="S112" t="s">
        <v>132</v>
      </c>
    </row>
    <row r="113" spans="1:25">
      <c r="A113" s="65" t="s">
        <v>132</v>
      </c>
      <c r="B113" s="65">
        <f>SUM(B75:B111)</f>
        <v>155</v>
      </c>
      <c r="C113" s="65"/>
      <c r="D113" s="65"/>
      <c r="E113" s="66">
        <f>SUM(E75:E110)</f>
        <v>126230</v>
      </c>
      <c r="F113" s="66">
        <f>SUM(F75:F110)</f>
        <v>903494</v>
      </c>
      <c r="H113" s="65">
        <f>SUM(H75:H111)</f>
        <v>0</v>
      </c>
      <c r="I113" s="65"/>
      <c r="J113" s="65"/>
      <c r="K113" s="66" t="e">
        <f>SUM(K75:K110)</f>
        <v>#VALUE!</v>
      </c>
      <c r="L113" s="66" t="e">
        <f>SUM(L75:L110)</f>
        <v>#VALUE!</v>
      </c>
      <c r="M113" s="65"/>
      <c r="N113" s="65">
        <f>SUM(N75:N112)</f>
        <v>115</v>
      </c>
      <c r="O113" s="65"/>
      <c r="P113" s="65"/>
      <c r="Q113" s="66">
        <f>SUM(Q75:Q105)</f>
        <v>84840</v>
      </c>
      <c r="R113" s="66">
        <f>SUM(R75:R105)</f>
        <v>391502</v>
      </c>
      <c r="S113" s="60">
        <f>SUM(Q113:R113)</f>
        <v>476342</v>
      </c>
      <c r="T113" s="65"/>
      <c r="U113" s="65">
        <f>SUM(U75:U111)</f>
        <v>0</v>
      </c>
      <c r="V113" s="65"/>
      <c r="W113" s="65"/>
      <c r="X113" s="66" t="e">
        <f>SUM(X75:X111)</f>
        <v>#VALUE!</v>
      </c>
      <c r="Y113" s="66" t="e">
        <f>SUM(Y75:Y111)</f>
        <v>#VALUE!</v>
      </c>
    </row>
    <row r="114" spans="1:25">
      <c r="D114" s="60"/>
      <c r="E114" s="60"/>
      <c r="P114" t="s">
        <v>323</v>
      </c>
      <c r="Q114" s="60">
        <f>Q113*46.32/1000</f>
        <v>3929.7887999999998</v>
      </c>
      <c r="R114" s="60">
        <f>R113*197.51/1000</f>
        <v>77325.56001999999</v>
      </c>
      <c r="S114" s="60">
        <f>SUM(Q114:R114)</f>
        <v>81255.348819999985</v>
      </c>
    </row>
  </sheetData>
  <autoFilter ref="B74:Y111" xr:uid="{3C2F06A6-E4AD-4186-8E24-796828DA4160}">
    <sortState ref="B75:Y111">
      <sortCondition descending="1" ref="O74:O111"/>
    </sortState>
  </autoFilter>
  <hyperlinks>
    <hyperlink ref="E13" r:id="rId1" xr:uid="{99EFB4C0-5912-46D5-9248-059EF66BED91}"/>
    <hyperlink ref="A72" r:id="rId2" xr:uid="{A760E7B9-9439-489C-AE5A-35B69745CF17}"/>
    <hyperlink ref="E18" r:id="rId3" xr:uid="{134C6773-060B-4274-905B-631304E69310}"/>
  </hyperlinks>
  <pageMargins left="0.7" right="0.7" top="0.78740157499999996" bottom="0.78740157499999996" header="0.3" footer="0.3"/>
  <pageSetup paperSize="9" orientation="portrait" r:id="rId4"/>
  <drawing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3D98C-BDF6-4D94-A6E1-2E8B4EEDF307}">
  <dimension ref="A1:AQ192"/>
  <sheetViews>
    <sheetView tabSelected="1" zoomScale="70" zoomScaleNormal="70" workbookViewId="0">
      <selection activeCell="A67" sqref="A67"/>
    </sheetView>
  </sheetViews>
  <sheetFormatPr baseColWidth="10" defaultRowHeight="15"/>
  <cols>
    <col min="1" max="1" width="47.28515625" customWidth="1"/>
    <col min="2" max="2" width="13.85546875" bestFit="1" customWidth="1"/>
    <col min="3" max="3" width="19.28515625" bestFit="1" customWidth="1"/>
    <col min="4" max="4" width="15" bestFit="1" customWidth="1"/>
    <col min="5" max="5" width="14.140625" customWidth="1"/>
    <col min="6" max="6" width="14.140625" bestFit="1" customWidth="1"/>
    <col min="8" max="8" width="34.5703125" customWidth="1"/>
    <col min="9" max="9" width="21.140625" customWidth="1"/>
    <col min="10" max="10" width="17.42578125" customWidth="1"/>
    <col min="11" max="11" width="12" bestFit="1" customWidth="1"/>
    <col min="27" max="27" width="15.85546875" customWidth="1"/>
    <col min="28" max="28" width="14.140625" customWidth="1"/>
    <col min="30" max="30" width="14.5703125" bestFit="1" customWidth="1"/>
    <col min="31" max="31" width="14.85546875" customWidth="1"/>
    <col min="33" max="33" width="15.5703125" customWidth="1"/>
  </cols>
  <sheetData>
    <row r="1" spans="1:6">
      <c r="A1" s="1" t="s">
        <v>23</v>
      </c>
      <c r="B1" s="1">
        <v>2020</v>
      </c>
      <c r="C1" s="1">
        <v>2021</v>
      </c>
      <c r="D1" s="1">
        <v>2022</v>
      </c>
      <c r="E1" s="1">
        <v>2023</v>
      </c>
      <c r="F1" s="1">
        <v>2024</v>
      </c>
    </row>
    <row r="2" spans="1:6">
      <c r="A2" t="s">
        <v>24</v>
      </c>
      <c r="B2" s="17">
        <f>SUM('THG-Bilanz 2020'!J3,'THG-Bilanz 2020'!J6,'THG-Bilanz 2020'!J8,'THG-Bilanz 2020'!J9)</f>
        <v>1535275.9121042881</v>
      </c>
      <c r="C2" s="17">
        <f>SUM('THG- Bilanz 2021'!J3,'THG- Bilanz 2021'!J6,'THG- Bilanz 2021'!J8,'THG- Bilanz 2021'!J9)</f>
        <v>1822476.6262411361</v>
      </c>
      <c r="D2" s="17">
        <f>SUM('THG-Bilanz 2022'!J3,'THG-Bilanz 2022'!J6,'THG-Bilanz 2022'!J8,'THG-Bilanz 2022'!J9)</f>
        <v>1688563.6564439039</v>
      </c>
      <c r="E2" s="17">
        <f>SUM('THG-Bilanz 2023'!$J3,'THG-Bilanz 2023'!$J6,'THG-Bilanz 2023'!$J8,'THG-Bilanz 2023'!$J9)</f>
        <v>1462317.2031242081</v>
      </c>
      <c r="F2" s="17">
        <f>SUM('THG-Bilanz 2024 - vorläufig'!$J3,'THG-Bilanz 2024 - vorläufig'!$J6,'THG-Bilanz 2024 - vorläufig'!$J8,'THG-Bilanz 2024 - vorläufig'!$J9)</f>
        <v>1190088.067247008</v>
      </c>
    </row>
    <row r="3" spans="1:6">
      <c r="A3" t="s">
        <v>22</v>
      </c>
      <c r="B3" s="17">
        <f>SUM('THG-Bilanz 2020'!J4:J5,'THG-Bilanz 2020'!J21:J27,'THG-Bilanz 2020'!J10:J11)</f>
        <v>869878.20291153248</v>
      </c>
      <c r="C3" s="17">
        <f>SUM('THG- Bilanz 2021'!J4:J5,'THG- Bilanz 2021'!J21:J27,'THG- Bilanz 2021'!J10:J11)</f>
        <v>2539492.8690720457</v>
      </c>
      <c r="D3" s="17">
        <f>SUM('THG-Bilanz 2022'!J4:J5,'THG-Bilanz 2022'!J21:J27,'THG-Bilanz 2022'!J10:J11)</f>
        <v>4464475.9366978751</v>
      </c>
      <c r="E3" s="17">
        <f>SUM('THG-Bilanz 2023'!$J4:J5,'THG-Bilanz 2023'!$J25:J31,'THG-Bilanz 2023'!$J10:J11)</f>
        <v>3559099.8948205081</v>
      </c>
      <c r="F3" s="17">
        <f>SUM('THG-Bilanz 2024 - vorläufig'!$J4:K5,'THG-Bilanz 2024 - vorläufig'!$J25:K31,'THG-Bilanz 2024 - vorläufig'!$J10:K11)</f>
        <v>19820.651698770394</v>
      </c>
    </row>
    <row r="4" spans="1:6">
      <c r="A4" t="s">
        <v>25</v>
      </c>
      <c r="B4" s="17">
        <f>SUM('THG-Bilanz 2020'!J12:J15)</f>
        <v>4386.9566400000003</v>
      </c>
      <c r="C4" s="17">
        <f>SUM('THG- Bilanz 2021'!J12:J15)</f>
        <v>2179.6698000000001</v>
      </c>
      <c r="D4" s="17">
        <f>SUM('THG-Bilanz 2022'!J12:J15)</f>
        <v>17126.425879999999</v>
      </c>
      <c r="E4" s="17">
        <f>SUM('THG-Bilanz 2023'!$J12:J18)</f>
        <v>69429.265732465356</v>
      </c>
      <c r="F4" s="17" t="e">
        <f>SUM('THG-Bilanz 2024 - vorläufig'!$J12:K18)</f>
        <v>#VALUE!</v>
      </c>
    </row>
    <row r="5" spans="1:6">
      <c r="A5" t="s">
        <v>26</v>
      </c>
      <c r="B5" s="17">
        <f>SUM('THG-Bilanz 2020'!J16:J20)</f>
        <v>166108.37132725891</v>
      </c>
      <c r="C5" s="17">
        <f>SUM('THG- Bilanz 2021'!J16:J20)</f>
        <v>165329.11225979429</v>
      </c>
      <c r="D5" s="17">
        <f>SUM('THG-Bilanz 2022'!J16:J20)</f>
        <v>-24013.346762333666</v>
      </c>
      <c r="E5" s="17">
        <f>SUM('THG-Bilanz 2023'!$J19:J24)</f>
        <v>-21443.881728624285</v>
      </c>
      <c r="F5" s="17" t="e">
        <f>SUM('THG-Bilanz 2024 - vorläufig'!$J19:K24)</f>
        <v>#VALUE!</v>
      </c>
    </row>
    <row r="6" spans="1:6">
      <c r="B6" s="17"/>
      <c r="C6" s="17"/>
      <c r="D6" s="17"/>
    </row>
    <row r="7" spans="1:6">
      <c r="A7" s="1" t="s">
        <v>27</v>
      </c>
      <c r="B7" s="17">
        <f t="shared" ref="B7:C7" si="0">SUM(B2:B5)</f>
        <v>2575649.4429830797</v>
      </c>
      <c r="C7" s="17">
        <f t="shared" si="0"/>
        <v>4529478.2773729758</v>
      </c>
      <c r="D7" s="17">
        <f>SUM(D2:D5)</f>
        <v>6146152.6722594453</v>
      </c>
      <c r="E7" s="17">
        <f>SUM(E2:E5)</f>
        <v>5069402.4819485573</v>
      </c>
      <c r="F7" s="17" t="e">
        <f>SUM(F2:F5)</f>
        <v>#VALUE!</v>
      </c>
    </row>
    <row r="8" spans="1:6">
      <c r="B8" s="17"/>
      <c r="C8" s="17"/>
      <c r="D8" s="17"/>
    </row>
    <row r="9" spans="1:6">
      <c r="B9" s="17"/>
      <c r="C9" s="17"/>
      <c r="D9" s="17"/>
    </row>
    <row r="10" spans="1:6">
      <c r="B10" s="17"/>
      <c r="C10" s="17"/>
      <c r="D10" s="17"/>
    </row>
    <row r="11" spans="1:6">
      <c r="A11" s="1" t="s">
        <v>28</v>
      </c>
    </row>
    <row r="12" spans="1:6">
      <c r="A12" t="s">
        <v>29</v>
      </c>
      <c r="B12" s="17">
        <f>SUM('THG-Bilanz 2020'!J3:J5)</f>
        <v>1076047.15326192</v>
      </c>
      <c r="C12" s="17">
        <f>SUM('THG- Bilanz 2021'!J3:J5)</f>
        <v>1230017.28182424</v>
      </c>
      <c r="D12" s="17">
        <f>SUM('THG-Bilanz 2022'!J3:J5)</f>
        <v>1060679.8741593601</v>
      </c>
      <c r="E12" s="17">
        <f>SUM('THG-Bilanz 2023'!$J3:J5)</f>
        <v>974424.66596202005</v>
      </c>
      <c r="F12" s="17">
        <f>SUM('THG-Bilanz 2024 - vorläufig'!$J3:K5)</f>
        <v>790702.39399999229</v>
      </c>
    </row>
    <row r="13" spans="1:6">
      <c r="A13" t="s">
        <v>30</v>
      </c>
      <c r="B13" s="17">
        <f>'THG-Bilanz 2020'!J6</f>
        <v>275934.87900000002</v>
      </c>
      <c r="C13" s="17">
        <f>'THG- Bilanz 2021'!J6</f>
        <v>377018.78</v>
      </c>
      <c r="D13" s="17">
        <f>'THG-Bilanz 2022'!J6</f>
        <v>441449.17599999998</v>
      </c>
      <c r="E13" s="17">
        <f>'THG-Bilanz 2023'!$J6</f>
        <v>331056.02064</v>
      </c>
      <c r="F13" s="17">
        <f>'THG-Bilanz 2024 - vorläufig'!$J6</f>
        <v>266017.51952999999</v>
      </c>
    </row>
    <row r="14" spans="1:6">
      <c r="A14" t="s">
        <v>31</v>
      </c>
      <c r="B14" s="17">
        <f>SUM('THG-Bilanz 2020'!J8:J27)</f>
        <v>1223667.4107211595</v>
      </c>
      <c r="C14" s="17">
        <f>SUM('THG- Bilanz 2021'!J6:J27)</f>
        <v>3299460.9955487358</v>
      </c>
      <c r="D14" s="17">
        <f>SUM('THG-Bilanz 2022'!J8:J27)</f>
        <v>4644023.622100085</v>
      </c>
      <c r="E14" s="17">
        <f>SUM('THG-Bilanz 2023'!$J8:J31)</f>
        <v>3763921.7953465371</v>
      </c>
      <c r="F14" s="17" t="e">
        <f>SUM('THG-Bilanz 2024 - vorläufig'!$J8:K31)</f>
        <v>#VALUE!</v>
      </c>
    </row>
    <row r="15" spans="1:6">
      <c r="B15" s="17"/>
      <c r="C15" s="17"/>
      <c r="D15" s="17"/>
      <c r="E15" s="17"/>
      <c r="F15" s="17"/>
    </row>
    <row r="16" spans="1:6">
      <c r="A16" s="1" t="s">
        <v>32</v>
      </c>
      <c r="B16" s="18">
        <f>(B12+B13)/1000</f>
        <v>1351.98203226192</v>
      </c>
      <c r="C16" s="18">
        <f t="shared" ref="C16:E16" si="1">(C12+C13)/1000</f>
        <v>1607.0360618242401</v>
      </c>
      <c r="D16" s="18">
        <f t="shared" si="1"/>
        <v>1502.1290501593601</v>
      </c>
      <c r="E16" s="18">
        <f t="shared" si="1"/>
        <v>1305.4806866020201</v>
      </c>
      <c r="F16" s="18">
        <f t="shared" ref="F16" si="2">(F12+F13)/1000</f>
        <v>1056.7199135299923</v>
      </c>
    </row>
    <row r="17" spans="1:9">
      <c r="C17" s="17"/>
      <c r="D17" s="17"/>
      <c r="E17" s="17"/>
      <c r="F17" s="17"/>
    </row>
    <row r="18" spans="1:9">
      <c r="C18" s="17"/>
      <c r="D18" s="17"/>
      <c r="E18" s="17"/>
      <c r="F18" s="17"/>
    </row>
    <row r="19" spans="1:9">
      <c r="B19" s="17"/>
      <c r="C19" s="17"/>
      <c r="D19" s="17"/>
      <c r="E19" s="17"/>
      <c r="F19" s="17"/>
      <c r="H19" s="17"/>
      <c r="I19" s="17"/>
    </row>
    <row r="20" spans="1:9">
      <c r="B20" s="3"/>
      <c r="C20" s="3"/>
      <c r="D20" s="3"/>
      <c r="H20" s="3"/>
      <c r="I20" s="3"/>
    </row>
    <row r="21" spans="1:9">
      <c r="A21" s="1" t="s">
        <v>33</v>
      </c>
      <c r="B21" s="17">
        <f>B$7/'Jahreswerte - Emden'!$B3</f>
        <v>5574.99879433567</v>
      </c>
      <c r="C21" s="17">
        <f>C$7/'Jahreswerte - Emden'!$B4</f>
        <v>9616.7267035519653</v>
      </c>
      <c r="D21" s="17">
        <f>D$7/'Jahreswerte - Emden'!$B5</f>
        <v>13332.218378003136</v>
      </c>
      <c r="E21" s="17">
        <f>E$7/'Jahreswerte - Emden'!$B6</f>
        <v>10901.940821394746</v>
      </c>
      <c r="F21" s="17" t="e">
        <f>F$7/'Jahreswerte - Emden'!$B6</f>
        <v>#VALUE!</v>
      </c>
      <c r="H21" s="3"/>
      <c r="I21" s="3"/>
    </row>
    <row r="22" spans="1:9">
      <c r="A22" s="1" t="s">
        <v>34</v>
      </c>
      <c r="B22" s="17">
        <f>B$7/'Jahreswerte - Emden'!$C3</f>
        <v>621.38707912740165</v>
      </c>
      <c r="C22" s="17">
        <f>C$7/'Jahreswerte - Emden'!$C4</f>
        <v>1068.7773188704521</v>
      </c>
      <c r="D22" s="17">
        <f>D$7/'Jahreswerte - Emden'!$C5</f>
        <v>1520.5721603808622</v>
      </c>
      <c r="E22" s="17">
        <f>E$7/'Jahreswerte - Emden'!$C6</f>
        <v>1217.7281964805566</v>
      </c>
      <c r="F22" s="17" t="e">
        <f>F$7/'Jahreswerte - Emden'!$C6</f>
        <v>#VALUE!</v>
      </c>
      <c r="I22" s="3"/>
    </row>
    <row r="23" spans="1:9">
      <c r="A23" s="1" t="s">
        <v>35</v>
      </c>
      <c r="B23" s="17">
        <f>B$7/('Jahreswerte - Emden'!$C3+'Jahreswerte - Emden'!$B3)</f>
        <v>559.07302864837845</v>
      </c>
      <c r="C23" s="17">
        <f>C$7/('Jahreswerte - Emden'!$C4+'Jahreswerte - Emden'!$B4)</f>
        <v>961.87689050179995</v>
      </c>
      <c r="D23" s="17">
        <f>D$7/('Jahreswerte - Emden'!$C5+'Jahreswerte - Emden'!$B5)</f>
        <v>1364.9017704329215</v>
      </c>
      <c r="E23" s="17">
        <f>E$7/('Jahreswerte - Emden'!$C6+'Jahreswerte - Emden'!$B6)</f>
        <v>1095.3765086319268</v>
      </c>
      <c r="F23" s="17" t="e">
        <f>F$7/('Jahreswerte - Emden'!$C6+'Jahreswerte - Emden'!$B6)</f>
        <v>#VALUE!</v>
      </c>
    </row>
    <row r="24" spans="1:9">
      <c r="A24" s="1" t="s">
        <v>36</v>
      </c>
      <c r="B24" s="19">
        <f>B$7/'Jahreswerte - Emden'!$D3</f>
        <v>4.80678755527899E-2</v>
      </c>
      <c r="C24" s="19">
        <f>C$7/'Jahreswerte - Emden'!$D4</f>
        <v>8.1146311260773499E-2</v>
      </c>
      <c r="D24" s="19">
        <f>D$7/'Jahreswerte - Emden'!$D5</f>
        <v>0.11360725826727255</v>
      </c>
      <c r="E24" s="19" t="e">
        <f>E$7/'Jahreswerte - Emden'!$D6</f>
        <v>#DIV/0!</v>
      </c>
      <c r="F24" s="19" t="e">
        <f>F$7/'Jahreswerte - Emden'!$D6</f>
        <v>#VALUE!</v>
      </c>
    </row>
    <row r="25" spans="1:9">
      <c r="A25" s="1" t="s">
        <v>37</v>
      </c>
      <c r="B25" s="19">
        <f>B$7/'Jahreswerte - Emden'!$E3</f>
        <v>4.8639439032997195E-2</v>
      </c>
      <c r="C25" s="19">
        <f>C$7/'Jahreswerte - Emden'!$E4</f>
        <v>8.277152801959152E-2</v>
      </c>
      <c r="D25" s="19" t="e">
        <f>D$7/'Jahreswerte - Emden'!$E5</f>
        <v>#DIV/0!</v>
      </c>
      <c r="E25" s="19" t="e">
        <f>E$7/'Jahreswerte - Emden'!$E6</f>
        <v>#DIV/0!</v>
      </c>
      <c r="F25" s="19" t="e">
        <f>F$7/'Jahreswerte - Emden'!$E6</f>
        <v>#VALUE!</v>
      </c>
    </row>
    <row r="26" spans="1:9">
      <c r="A26" s="1" t="s">
        <v>38</v>
      </c>
      <c r="B26" s="19"/>
      <c r="D26" s="19"/>
      <c r="E26" s="19"/>
      <c r="F26" s="19"/>
    </row>
    <row r="27" spans="1:9">
      <c r="A27" s="1" t="s">
        <v>256</v>
      </c>
      <c r="B27" s="20">
        <f>B7/62163</f>
        <v>41.433802148916229</v>
      </c>
      <c r="C27" s="20">
        <f t="shared" ref="C27:E27" si="3">C7/62163</f>
        <v>72.864538027009246</v>
      </c>
      <c r="D27" s="20">
        <f t="shared" si="3"/>
        <v>98.871558197954499</v>
      </c>
      <c r="E27" s="20">
        <f t="shared" si="3"/>
        <v>81.550158163997196</v>
      </c>
      <c r="F27" s="20" t="e">
        <f t="shared" ref="F27" si="4">F7/62163</f>
        <v>#VALUE!</v>
      </c>
    </row>
    <row r="28" spans="1:9">
      <c r="B28" s="19"/>
      <c r="C28" s="19"/>
      <c r="D28" s="19"/>
    </row>
    <row r="32" spans="1:9">
      <c r="A32" s="1" t="s">
        <v>39</v>
      </c>
      <c r="B32" s="17">
        <f>B$12/'Jahreswerte - Emden'!$B3</f>
        <v>2329.1063923418183</v>
      </c>
      <c r="C32" s="17">
        <f>C$12/'Jahreswerte - Emden'!$B4</f>
        <v>2611.5016599240766</v>
      </c>
      <c r="D32" s="17">
        <f>D$12/'Jahreswerte - Emden'!$B5</f>
        <v>2300.8240220376574</v>
      </c>
      <c r="E32" s="17">
        <f>E$12/'Jahreswerte - Emden'!$B6</f>
        <v>2095.5369160473551</v>
      </c>
      <c r="F32" s="17">
        <f>F$12/'Jahreswerte - Emden'!$B6</f>
        <v>1700.435255913962</v>
      </c>
    </row>
    <row r="33" spans="1:9">
      <c r="A33" s="1" t="s">
        <v>40</v>
      </c>
      <c r="B33" s="17">
        <f>B$12/'Jahreswerte - Emden'!$C3</f>
        <v>259.6012432477491</v>
      </c>
      <c r="C33" s="17">
        <f>C$12/'Jahreswerte - Emden'!$C4</f>
        <v>290.23531897693249</v>
      </c>
      <c r="D33" s="17">
        <f>D$12/'Jahreswerte - Emden'!$C5</f>
        <v>262.41461508148444</v>
      </c>
      <c r="E33" s="17">
        <f>E$12/'Jahreswerte - Emden'!$C6</f>
        <v>234.06789958251744</v>
      </c>
      <c r="F33" s="17">
        <f>F$12/'Jahreswerte - Emden'!$C6</f>
        <v>189.93571799183096</v>
      </c>
    </row>
    <row r="34" spans="1:9">
      <c r="A34" s="1" t="s">
        <v>41</v>
      </c>
      <c r="B34" s="17">
        <f>B$12/('Jahreswerte - Emden'!$C3+'Jahreswerte - Emden'!$B3)</f>
        <v>233.56786482785327</v>
      </c>
      <c r="C34" s="17">
        <f>C$12/('Jahreswerte - Emden'!$C4+'Jahreswerte - Emden'!$B4)</f>
        <v>261.20562366197493</v>
      </c>
      <c r="D34" s="17">
        <f>D$12/('Jahreswerte - Emden'!$C5+'Jahreswerte - Emden'!$B5)</f>
        <v>235.54960563165892</v>
      </c>
      <c r="E34" s="17">
        <f>E$12/('Jahreswerte - Emden'!$C6+'Jahreswerte - Emden'!$B6)</f>
        <v>210.54984139196631</v>
      </c>
      <c r="F34" s="17">
        <f>F$12/('Jahreswerte - Emden'!$C6+'Jahreswerte - Emden'!$B6)</f>
        <v>170.85185695764741</v>
      </c>
    </row>
    <row r="35" spans="1:9">
      <c r="A35" s="1" t="s">
        <v>246</v>
      </c>
      <c r="B35" s="20">
        <f>B$12/'Jahreswerte - Emden'!$D3*1000</f>
        <v>20.081653888435469</v>
      </c>
      <c r="C35" s="20">
        <f>C$12/'Jahreswerte - Emden'!$D4*1000</f>
        <v>22.035951845855703</v>
      </c>
      <c r="D35" s="20">
        <f>D$12/'Jahreswerte - Emden'!$D5*1000</f>
        <v>19.605912646198892</v>
      </c>
      <c r="E35" s="20" t="e">
        <f>E$12/'Jahreswerte - Emden'!$D6*1000</f>
        <v>#DIV/0!</v>
      </c>
      <c r="F35" s="20" t="e">
        <f>F$12/'Jahreswerte - Emden'!$D6*1000</f>
        <v>#DIV/0!</v>
      </c>
    </row>
    <row r="36" spans="1:9">
      <c r="A36" s="1" t="s">
        <v>245</v>
      </c>
      <c r="B36" s="20">
        <f>B$12/'Jahreswerte - Emden'!$E3*1000</f>
        <v>20.320439976915438</v>
      </c>
      <c r="C36" s="20">
        <f>C$12/'Jahreswerte - Emden'!$E4*1000</f>
        <v>22.477292896113692</v>
      </c>
      <c r="D36" s="20" t="e">
        <f>D$12/'Jahreswerte - Emden'!$E5*1000</f>
        <v>#DIV/0!</v>
      </c>
      <c r="E36" s="20" t="e">
        <f>E$12/'Jahreswerte - Emden'!$E6*1000</f>
        <v>#DIV/0!</v>
      </c>
      <c r="F36" s="20" t="e">
        <f>F$12/'Jahreswerte - Emden'!$E6*1000</f>
        <v>#DIV/0!</v>
      </c>
    </row>
    <row r="37" spans="1:9">
      <c r="A37" s="1" t="s">
        <v>42</v>
      </c>
      <c r="B37" s="19"/>
      <c r="D37" s="19"/>
      <c r="E37" s="19"/>
      <c r="F37" s="19"/>
      <c r="I37" s="3"/>
    </row>
    <row r="38" spans="1:9">
      <c r="A38" s="1" t="s">
        <v>255</v>
      </c>
      <c r="B38" s="20">
        <f>B12/61063</f>
        <v>17.621917581218085</v>
      </c>
      <c r="C38" s="20">
        <f t="shared" ref="C38:E38" si="5">C12/61063</f>
        <v>20.143413881143083</v>
      </c>
      <c r="D38" s="20">
        <f t="shared" si="5"/>
        <v>17.370254886909585</v>
      </c>
      <c r="E38" s="20">
        <f t="shared" si="5"/>
        <v>15.957693954801108</v>
      </c>
      <c r="F38" s="20">
        <f t="shared" ref="F38" si="6">F12/61063</f>
        <v>12.948960810965598</v>
      </c>
    </row>
    <row r="40" spans="1:9">
      <c r="A40" s="1" t="s">
        <v>43</v>
      </c>
      <c r="B40" s="17">
        <f>B13/'Jahreswerte - Emden'!$B3</f>
        <v>597.26164285714287</v>
      </c>
      <c r="C40" s="17">
        <f>C13/'Jahreswerte - Emden'!$B4</f>
        <v>800.46450106157124</v>
      </c>
      <c r="D40" s="17">
        <f>D13/'Jahreswerte - Emden'!$B5</f>
        <v>957.59040347071584</v>
      </c>
      <c r="E40" s="17">
        <f>E13/'Jahreswerte - Emden'!$B6</f>
        <v>711.94843148387099</v>
      </c>
      <c r="F40" s="17">
        <f>F13/'Jahreswerte - Emden'!$B6</f>
        <v>572.08068716129026</v>
      </c>
      <c r="I40" s="3"/>
    </row>
    <row r="41" spans="1:9">
      <c r="A41" s="1" t="s">
        <v>44</v>
      </c>
      <c r="B41" s="17">
        <f>B13/'Jahreswerte - Emden'!$C3</f>
        <v>66.570537756332939</v>
      </c>
      <c r="C41" s="17">
        <f>C13/'Jahreswerte - Emden'!$C4</f>
        <v>88.961486550259565</v>
      </c>
      <c r="D41" s="17">
        <f>D13/'Jahreswerte - Emden'!$C5</f>
        <v>109.21553092528451</v>
      </c>
      <c r="E41" s="17">
        <f>E13/'Jahreswerte - Emden'!$C6</f>
        <v>79.523425568099924</v>
      </c>
      <c r="F41" s="17">
        <f>F13/'Jahreswerte - Emden'!$C6</f>
        <v>63.900437071823205</v>
      </c>
    </row>
    <row r="42" spans="1:9">
      <c r="A42" s="1" t="s">
        <v>45</v>
      </c>
      <c r="B42" s="17">
        <f>B13/('Jahreswerte - Emden'!$C3+'Jahreswerte - Emden'!$B3)</f>
        <v>59.894699153462128</v>
      </c>
      <c r="C42" s="17">
        <f>C13/('Jahreswerte - Emden'!$C4+'Jahreswerte - Emden'!$B4)</f>
        <v>80.063448715226173</v>
      </c>
      <c r="D42" s="17">
        <f>D13/('Jahreswerte - Emden'!$C5+'Jahreswerte - Emden'!$B5)</f>
        <v>98.034460581834324</v>
      </c>
      <c r="E42" s="17">
        <f>E13/('Jahreswerte - Emden'!$C6+'Jahreswerte - Emden'!$B6)</f>
        <v>71.533280172860842</v>
      </c>
      <c r="F42" s="17">
        <f>F13/('Jahreswerte - Emden'!$C6+'Jahreswerte - Emden'!$B6)</f>
        <v>57.480017184528954</v>
      </c>
    </row>
    <row r="43" spans="1:9">
      <c r="A43" s="1" t="s">
        <v>247</v>
      </c>
      <c r="B43" s="20">
        <f>B13/'Jahreswerte - Emden'!$D3*1000</f>
        <v>5.1496151623353015</v>
      </c>
      <c r="C43" s="20">
        <f>C13/'Jahreswerte - Emden'!$D4*1000</f>
        <v>6.7543503687539328</v>
      </c>
      <c r="D43" s="20">
        <f>D13/'Jahreswerte - Emden'!$D5*1000</f>
        <v>8.1598738632162657</v>
      </c>
      <c r="E43" s="20" t="e">
        <f>E13/'Jahreswerte - Emden'!$D6*1000</f>
        <v>#DIV/0!</v>
      </c>
      <c r="F43" s="20" t="e">
        <f>F13/'Jahreswerte - Emden'!$D6*1000</f>
        <v>#DIV/0!</v>
      </c>
    </row>
    <row r="44" spans="1:9">
      <c r="A44" s="1" t="s">
        <v>248</v>
      </c>
      <c r="B44" s="20">
        <f>B13/'Jahreswerte - Emden'!$E3*1000</f>
        <v>5.2108479904988867</v>
      </c>
      <c r="C44" s="20">
        <f>C13/'Jahreswerte - Emden'!$E4*1000</f>
        <v>6.8896280325648078</v>
      </c>
      <c r="D44" s="20" t="e">
        <f>D13/'Jahreswerte - Emden'!$E5*1000</f>
        <v>#DIV/0!</v>
      </c>
      <c r="E44" s="20" t="e">
        <f>E13/'Jahreswerte - Emden'!$E6*1000</f>
        <v>#DIV/0!</v>
      </c>
      <c r="F44" s="20" t="e">
        <f>F13/'Jahreswerte - Emden'!$E6*1000</f>
        <v>#DIV/0!</v>
      </c>
    </row>
    <row r="45" spans="1:9">
      <c r="A45" s="1" t="s">
        <v>249</v>
      </c>
      <c r="B45" s="19"/>
      <c r="D45" s="19"/>
      <c r="E45" s="19"/>
      <c r="F45" s="19"/>
    </row>
    <row r="46" spans="1:9">
      <c r="A46" s="1" t="s">
        <v>254</v>
      </c>
      <c r="B46" s="20">
        <f>B13/61063</f>
        <v>4.518855591765881</v>
      </c>
      <c r="C46" s="20">
        <f>C13/61063</f>
        <v>6.1742590439382283</v>
      </c>
      <c r="D46" s="20">
        <f>D13/61063</f>
        <v>7.2294053027201413</v>
      </c>
      <c r="E46" s="20">
        <f>E13/61063</f>
        <v>5.421548575078198</v>
      </c>
      <c r="F46" s="20">
        <f>F13/61063</f>
        <v>4.3564436652309908</v>
      </c>
    </row>
    <row r="48" spans="1:9">
      <c r="A48" s="1" t="s">
        <v>46</v>
      </c>
      <c r="B48" s="17">
        <f>B14/'Jahreswerte - Emden'!$B3</f>
        <v>2648.630759136709</v>
      </c>
      <c r="C48" s="17">
        <f>C14/'Jahreswerte - Emden'!$B4</f>
        <v>7005.2250436278891</v>
      </c>
      <c r="D48" s="17">
        <f>D14/'Jahreswerte - Emden'!$B5</f>
        <v>10073.803952494762</v>
      </c>
      <c r="E48" s="17">
        <f>E14/'Jahreswerte - Emden'!$B6</f>
        <v>8094.4554738635206</v>
      </c>
      <c r="F48" s="17" t="e">
        <f>F14/'Jahreswerte - Emden'!$B6</f>
        <v>#VALUE!</v>
      </c>
    </row>
    <row r="49" spans="1:6">
      <c r="A49" s="1" t="s">
        <v>47</v>
      </c>
      <c r="B49" s="17">
        <f>B14/'Jahreswerte - Emden'!$C3</f>
        <v>295.21529812331954</v>
      </c>
      <c r="C49" s="17">
        <f>C14/'Jahreswerte - Emden'!$C4</f>
        <v>778.54199989351957</v>
      </c>
      <c r="D49" s="17">
        <f>D14/'Jahreswerte - Emden'!$C5</f>
        <v>1148.9420143740933</v>
      </c>
      <c r="E49" s="17">
        <f>E14/'Jahreswerte - Emden'!$C6</f>
        <v>904.13687132993925</v>
      </c>
      <c r="F49" s="17" t="e">
        <f>F14/'Jahreswerte - Emden'!$C6</f>
        <v>#VALUE!</v>
      </c>
    </row>
    <row r="50" spans="1:6">
      <c r="A50" s="1" t="s">
        <v>48</v>
      </c>
      <c r="B50" s="17">
        <f>B14/('Jahreswerte - Emden'!$C3+'Jahreswerte - Emden'!$B3)</f>
        <v>265.61046466706307</v>
      </c>
      <c r="C50" s="17">
        <f>C14/('Jahreswerte - Emden'!$C4+'Jahreswerte - Emden'!$B4)</f>
        <v>700.67126683982497</v>
      </c>
      <c r="D50" s="17">
        <f>D14/('Jahreswerte - Emden'!$C5+'Jahreswerte - Emden'!$B5)</f>
        <v>1031.3177042194282</v>
      </c>
      <c r="E50" s="17">
        <f>E14/('Jahreswerte - Emden'!$C6+'Jahreswerte - Emden'!$B6)</f>
        <v>813.29338706709962</v>
      </c>
      <c r="F50" s="17" t="e">
        <f>F14/('Jahreswerte - Emden'!$C6+'Jahreswerte - Emden'!$B6)</f>
        <v>#VALUE!</v>
      </c>
    </row>
    <row r="51" spans="1:6">
      <c r="A51" s="1" t="s">
        <v>250</v>
      </c>
      <c r="B51" s="20">
        <f>B14/'Jahreswerte - Emden'!$D3*1000</f>
        <v>22.836606502019126</v>
      </c>
      <c r="C51" s="20">
        <f>C14/'Jahreswerte - Emden'!$D4*1000</f>
        <v>59.110359414917795</v>
      </c>
      <c r="D51" s="20">
        <f>D14/'Jahreswerte - Emden'!$D5*1000</f>
        <v>85.841471757857391</v>
      </c>
      <c r="E51" s="20" t="e">
        <f>E14/'Jahreswerte - Emden'!$D6*1000</f>
        <v>#DIV/0!</v>
      </c>
      <c r="F51" s="20" t="e">
        <f>F14/'Jahreswerte - Emden'!$D6*1000</f>
        <v>#VALUE!</v>
      </c>
    </row>
    <row r="52" spans="1:6">
      <c r="A52" s="1" t="s">
        <v>251</v>
      </c>
      <c r="B52" s="20">
        <f>B14/'Jahreswerte - Emden'!$E3*1000</f>
        <v>23.10815106558287</v>
      </c>
      <c r="C52" s="20">
        <f>C14/'Jahreswerte - Emden'!$E4*1000</f>
        <v>60.294235123477819</v>
      </c>
      <c r="D52" s="20" t="e">
        <f>D14/'Jahreswerte - Emden'!$E5*1000</f>
        <v>#DIV/0!</v>
      </c>
      <c r="E52" s="20" t="e">
        <f>E14/'Jahreswerte - Emden'!$E6*1000</f>
        <v>#DIV/0!</v>
      </c>
      <c r="F52" s="20" t="e">
        <f>F14/'Jahreswerte - Emden'!$E6*1000</f>
        <v>#VALUE!</v>
      </c>
    </row>
    <row r="53" spans="1:6">
      <c r="A53" s="1" t="s">
        <v>252</v>
      </c>
      <c r="B53" s="19"/>
      <c r="D53" s="19"/>
      <c r="E53" s="19"/>
      <c r="F53" s="19"/>
    </row>
    <row r="54" spans="1:6">
      <c r="A54" s="1" t="s">
        <v>253</v>
      </c>
      <c r="B54" s="20">
        <f>B14/61063</f>
        <v>20.039425031871339</v>
      </c>
      <c r="C54" s="20">
        <f>C14/61063</f>
        <v>54.03371920064091</v>
      </c>
      <c r="D54" s="20">
        <f>D14/61063</f>
        <v>76.052988259667643</v>
      </c>
      <c r="E54" s="20">
        <f>E14/61063</f>
        <v>61.639975031468111</v>
      </c>
      <c r="F54" s="20" t="e">
        <f>F14/61063</f>
        <v>#VALUE!</v>
      </c>
    </row>
    <row r="67" spans="1:43">
      <c r="A67" s="53" t="s">
        <v>87</v>
      </c>
      <c r="B67">
        <v>2020</v>
      </c>
      <c r="C67">
        <v>2021</v>
      </c>
      <c r="D67">
        <v>2022</v>
      </c>
      <c r="E67" t="s">
        <v>113</v>
      </c>
    </row>
    <row r="68" spans="1:43">
      <c r="A68" t="s">
        <v>114</v>
      </c>
      <c r="B68" s="3">
        <v>361738</v>
      </c>
      <c r="C68" s="3">
        <v>367682</v>
      </c>
      <c r="D68" s="3">
        <v>-69014</v>
      </c>
      <c r="E68" s="3">
        <v>-40687</v>
      </c>
      <c r="AB68" t="s">
        <v>55</v>
      </c>
      <c r="AC68" t="s">
        <v>310</v>
      </c>
      <c r="AD68" t="s">
        <v>312</v>
      </c>
      <c r="AG68" t="s">
        <v>315</v>
      </c>
      <c r="AH68" t="s">
        <v>26</v>
      </c>
      <c r="AI68" t="s">
        <v>25</v>
      </c>
      <c r="AJ68" t="s">
        <v>55</v>
      </c>
      <c r="AK68" t="s">
        <v>310</v>
      </c>
      <c r="AL68" t="s">
        <v>312</v>
      </c>
      <c r="AM68" t="s">
        <v>313</v>
      </c>
      <c r="AN68" t="s">
        <v>314</v>
      </c>
      <c r="AO68" t="s">
        <v>316</v>
      </c>
      <c r="AP68" t="s">
        <v>317</v>
      </c>
      <c r="AQ68" t="s">
        <v>25</v>
      </c>
    </row>
    <row r="69" spans="1:43">
      <c r="A69" t="s">
        <v>327</v>
      </c>
      <c r="B69" s="3">
        <v>52680</v>
      </c>
      <c r="C69" s="3">
        <v>52403</v>
      </c>
      <c r="D69" s="3">
        <v>502831</v>
      </c>
      <c r="E69" s="3">
        <v>521351</v>
      </c>
      <c r="AA69">
        <v>2023</v>
      </c>
      <c r="AB69" s="17">
        <f>'THG-Bilanz 2023'!J3</f>
        <v>954811.13864472008</v>
      </c>
      <c r="AC69" s="17">
        <f>'THG-Bilanz 2023'!J4+'THG-Bilanz 2023'!J5</f>
        <v>19613.527317299995</v>
      </c>
      <c r="AD69" t="s">
        <v>311</v>
      </c>
      <c r="AE69" s="17">
        <f>'THG-Bilanz 2023'!J6</f>
        <v>331056.02064</v>
      </c>
      <c r="AF69" s="17">
        <f>'THG-Bilanz 2023'!J8+'THG-Bilanz 2023'!J9+'THG-Bilanz 2023'!J10+'THG-Bilanz 2023'!J11</f>
        <v>181442.838757688</v>
      </c>
      <c r="AG69" s="17">
        <f>'THG-Bilanz 2023'!J30+'THG-Bilanz 2023'!J31</f>
        <v>3348669.3175850082</v>
      </c>
      <c r="AH69" s="17">
        <f>'THG-Bilanz 2023'!J19+'THG-Bilanz 2023'!J22+'THG-Bilanz 2023'!J20</f>
        <v>-24149.461728624286</v>
      </c>
      <c r="AI69" s="17">
        <f>'THG-Bilanz 2023'!J16+'THG-Bilanz 2023'!J18+'THG-Bilanz 2023'!J12</f>
        <v>58116.901732465354</v>
      </c>
      <c r="AJ69" s="18">
        <f>AB69/1000</f>
        <v>954.81113864472013</v>
      </c>
      <c r="AK69" s="18">
        <f>AC69/1000</f>
        <v>19.613527317299994</v>
      </c>
      <c r="AL69" t="s">
        <v>311</v>
      </c>
      <c r="AM69" s="18">
        <f t="shared" ref="AM69:AO72" si="7">AE69/1000</f>
        <v>331.05602063999999</v>
      </c>
      <c r="AN69" s="18">
        <f t="shared" si="7"/>
        <v>181.44283875768801</v>
      </c>
      <c r="AO69" s="18">
        <f t="shared" si="7"/>
        <v>3348.6693175850082</v>
      </c>
      <c r="AP69" s="18">
        <f>AH69/1000</f>
        <v>-24.149461728624285</v>
      </c>
      <c r="AQ69" s="18">
        <f>AI69/1000</f>
        <v>58.116901732465351</v>
      </c>
    </row>
    <row r="70" spans="1:43">
      <c r="B70" s="3"/>
      <c r="C70" s="3"/>
      <c r="D70" s="3"/>
      <c r="E70" s="3"/>
      <c r="AA70">
        <v>2022</v>
      </c>
      <c r="AB70" s="17">
        <f>'THG-Bilanz 2022'!J3</f>
        <v>1049227.23015936</v>
      </c>
      <c r="AC70" s="17">
        <f>'THG-Bilanz 2022'!J4</f>
        <v>11452.644</v>
      </c>
      <c r="AD70" s="17" t="s">
        <v>311</v>
      </c>
      <c r="AE70" s="17">
        <f>'THG-Bilanz 2022'!J6</f>
        <v>441449.17599999998</v>
      </c>
      <c r="AF70" s="17">
        <f>'THG-Bilanz 2022'!J9+'THG-Bilanz 2022'!J8</f>
        <v>197887.25028454402</v>
      </c>
      <c r="AG70" s="17">
        <f>'THG-Bilanz 2022'!J26+'THG-Bilanz 2022'!J27</f>
        <v>4357215.776697875</v>
      </c>
      <c r="AH70" s="17">
        <f>'THG-Bilanz 2022'!J16+'THG-Bilanz 2022'!J17+'THG-Bilanz 2022'!J18</f>
        <v>-26718.926762333667</v>
      </c>
      <c r="AI70" s="17">
        <f>'THG-Bilanz 2022'!J13+'THG-Bilanz 2022'!J15+'THG-Bilanz 2022'!J12</f>
        <v>17126.425880000003</v>
      </c>
      <c r="AJ70" s="18">
        <f>AB70/1000</f>
        <v>1049.22723015936</v>
      </c>
      <c r="AK70" s="18">
        <f>AC70/1000</f>
        <v>11.452643999999999</v>
      </c>
      <c r="AL70" t="s">
        <v>311</v>
      </c>
      <c r="AM70" s="18">
        <f t="shared" si="7"/>
        <v>441.44917599999997</v>
      </c>
      <c r="AN70" s="18">
        <f t="shared" si="7"/>
        <v>197.88725028454402</v>
      </c>
      <c r="AO70" s="18">
        <f t="shared" si="7"/>
        <v>4357.2157766978753</v>
      </c>
      <c r="AP70" s="18">
        <f t="shared" ref="AP70:AP72" si="8">AH70/1000</f>
        <v>-26.718926762333666</v>
      </c>
      <c r="AQ70" s="18">
        <f t="shared" ref="AQ70:AQ72" si="9">AI70/1000</f>
        <v>17.126425880000003</v>
      </c>
    </row>
    <row r="71" spans="1:43">
      <c r="AA71">
        <v>2021</v>
      </c>
      <c r="AB71" s="17">
        <f>'THG- Bilanz 2021'!J3</f>
        <v>1230017.28182424</v>
      </c>
      <c r="AC71" s="17" t="str">
        <f>'THG- Bilanz 2021'!J4</f>
        <v>kein Wert</v>
      </c>
      <c r="AD71" s="17" t="str">
        <f>'THG- Bilanz 2021'!J5</f>
        <v>kein Wert</v>
      </c>
      <c r="AE71" s="17">
        <f>'THG- Bilanz 2021'!J6</f>
        <v>377018.78</v>
      </c>
      <c r="AF71" s="17">
        <f>'THG- Bilanz 2021'!J8+'THG- Bilanz 2021'!J9</f>
        <v>215440.564416896</v>
      </c>
      <c r="AG71" s="17">
        <f>'THG- Bilanz 2021'!J26+'THG- Bilanz 2021'!J27</f>
        <v>2539492.8690720457</v>
      </c>
      <c r="AH71" s="17">
        <f>'THG- Bilanz 2021'!J16+'THG- Bilanz 2021'!J17+'THG- Bilanz 2021'!J18</f>
        <v>162623.5322597943</v>
      </c>
      <c r="AI71" s="17">
        <f>'THG- Bilanz 2021'!J15+'THG- Bilanz 2021'!J13+'THG- Bilanz 2021'!J12</f>
        <v>2179.6698000000001</v>
      </c>
      <c r="AJ71" s="18">
        <f>AB71/1000</f>
        <v>1230.0172818242399</v>
      </c>
      <c r="AK71" t="s">
        <v>311</v>
      </c>
      <c r="AL71" t="s">
        <v>311</v>
      </c>
      <c r="AM71" s="18">
        <f t="shared" si="7"/>
        <v>377.01878000000005</v>
      </c>
      <c r="AN71" s="18">
        <f t="shared" si="7"/>
        <v>215.440564416896</v>
      </c>
      <c r="AO71" s="18">
        <f t="shared" si="7"/>
        <v>2539.4928690720458</v>
      </c>
      <c r="AP71" s="18">
        <f t="shared" si="8"/>
        <v>162.6235322597943</v>
      </c>
      <c r="AQ71" s="18">
        <f t="shared" si="9"/>
        <v>2.1796698000000001</v>
      </c>
    </row>
    <row r="72" spans="1:43">
      <c r="A72" t="s">
        <v>274</v>
      </c>
      <c r="AA72">
        <v>2020</v>
      </c>
      <c r="AB72" s="17">
        <f>'THG-Bilanz 2020'!J3</f>
        <v>1076047.15326192</v>
      </c>
      <c r="AC72" s="17" t="str">
        <f>'THG-Bilanz 2020'!J4</f>
        <v>kein Wert</v>
      </c>
      <c r="AD72" s="17" t="s">
        <v>311</v>
      </c>
      <c r="AE72" s="17">
        <f>'THG-Bilanz 2020'!J6</f>
        <v>275934.87900000002</v>
      </c>
      <c r="AF72" s="17">
        <f>'THG-Bilanz 2020'!J8+'THG-Bilanz 2020'!J9</f>
        <v>183293.87984236801</v>
      </c>
      <c r="AG72" s="17">
        <f>'THG-Bilanz 2020'!J26+'THG-Bilanz 2020'!J27</f>
        <v>650933.50091153267</v>
      </c>
      <c r="AH72" s="17">
        <f>'THG-Bilanz 2020'!J16+'THG-Bilanz 2020'!J18+'THG-Bilanz 2020'!J17</f>
        <v>163402.79132725892</v>
      </c>
      <c r="AI72" s="17">
        <f>'THG-Bilanz 2020'!J13+'THG-Bilanz 2020'!J12</f>
        <v>4386.9566400000003</v>
      </c>
      <c r="AJ72" s="18">
        <f>AB72/1000</f>
        <v>1076.0471532619199</v>
      </c>
      <c r="AK72" t="s">
        <v>311</v>
      </c>
      <c r="AL72" t="s">
        <v>311</v>
      </c>
      <c r="AM72" s="18">
        <f t="shared" si="7"/>
        <v>275.93487900000002</v>
      </c>
      <c r="AN72" s="18">
        <f t="shared" si="7"/>
        <v>183.293879842368</v>
      </c>
      <c r="AO72" s="18">
        <f t="shared" si="7"/>
        <v>650.93350091153263</v>
      </c>
      <c r="AP72" s="18">
        <f t="shared" si="8"/>
        <v>163.40279132725891</v>
      </c>
      <c r="AQ72" s="18">
        <f t="shared" si="9"/>
        <v>4.3869566400000002</v>
      </c>
    </row>
    <row r="73" spans="1:43">
      <c r="A73" t="s">
        <v>275</v>
      </c>
      <c r="D73" s="3">
        <v>15425600</v>
      </c>
      <c r="AB73" s="17"/>
      <c r="AH73" s="17"/>
    </row>
    <row r="74" spans="1:43">
      <c r="A74" t="s">
        <v>276</v>
      </c>
      <c r="D74" s="3">
        <f>101.2*0.93*1000</f>
        <v>94116.000000000015</v>
      </c>
      <c r="AB74" s="17"/>
      <c r="AH74" s="17"/>
    </row>
    <row r="75" spans="1:43">
      <c r="AB75" s="17"/>
      <c r="AH75" s="17"/>
    </row>
    <row r="76" spans="1:43">
      <c r="AH76" s="17"/>
    </row>
    <row r="77" spans="1:43">
      <c r="A77" t="s">
        <v>272</v>
      </c>
      <c r="B77">
        <v>2022</v>
      </c>
      <c r="AC77" s="17"/>
      <c r="AH77" s="17"/>
    </row>
    <row r="78" spans="1:43">
      <c r="A78" t="s">
        <v>270</v>
      </c>
      <c r="B78" s="3">
        <v>27591</v>
      </c>
      <c r="AH78" s="17"/>
    </row>
    <row r="79" spans="1:43">
      <c r="A79" t="s">
        <v>271</v>
      </c>
      <c r="B79" s="3">
        <v>238.1</v>
      </c>
      <c r="AH79" s="17"/>
    </row>
    <row r="80" spans="1:43">
      <c r="AH80" s="17"/>
    </row>
    <row r="81" spans="7:34">
      <c r="AH81" s="17"/>
    </row>
    <row r="82" spans="7:34">
      <c r="AH82" s="17"/>
    </row>
    <row r="83" spans="7:34">
      <c r="AH83" s="17"/>
    </row>
    <row r="84" spans="7:34">
      <c r="AH84" s="17"/>
    </row>
    <row r="85" spans="7:34">
      <c r="AH85" s="17"/>
    </row>
    <row r="86" spans="7:34">
      <c r="Z86" t="s">
        <v>29</v>
      </c>
      <c r="AA86" s="17">
        <f>AB69+AC69</f>
        <v>974424.66596202005</v>
      </c>
      <c r="AH86" s="17"/>
    </row>
    <row r="87" spans="7:34">
      <c r="Z87" t="s">
        <v>30</v>
      </c>
      <c r="AA87" s="17">
        <f>AE69</f>
        <v>331056.02064</v>
      </c>
      <c r="AH87" s="17"/>
    </row>
    <row r="88" spans="7:34">
      <c r="Z88" t="s">
        <v>31</v>
      </c>
      <c r="AA88" s="17">
        <f>'THG-Bilanz 2023'!J16+'THG-Bilanz 2023'!J12+'THG-Bilanz 2023'!J11+'THG-Bilanz 2023'!J10+'THG-Bilanz 2023'!J9+'THG-Bilanz 2023'!J8+'THG-Bilanz 2023'!J18+'THG-Bilanz 2023'!J19+'THG-Bilanz 2022'!J13+'THG-Bilanz 2023'!J13+'THG-Bilanz 2023'!J14-AB88+AA91</f>
        <v>440043.11937015341</v>
      </c>
      <c r="AB88">
        <f>AD180+AD179</f>
        <v>0</v>
      </c>
      <c r="AH88" s="17"/>
    </row>
    <row r="89" spans="7:34">
      <c r="J89" s="44">
        <f>SUM('THG-Bilanz 2020'!J3:J27)</f>
        <v>2575649.4429830792</v>
      </c>
      <c r="Z89" t="s">
        <v>316</v>
      </c>
      <c r="AA89">
        <v>2252000</v>
      </c>
      <c r="AH89" s="17"/>
    </row>
    <row r="90" spans="7:34">
      <c r="Z90" t="s">
        <v>324</v>
      </c>
      <c r="AA90">
        <v>464000</v>
      </c>
      <c r="AH90" s="17"/>
    </row>
    <row r="91" spans="7:34">
      <c r="Z91" t="s">
        <v>328</v>
      </c>
      <c r="AA91" s="17">
        <f>SUM('THG-Bilanz 2023'!J25:J27)</f>
        <v>185824.255</v>
      </c>
      <c r="AH91" s="17"/>
    </row>
    <row r="92" spans="7:34">
      <c r="AH92" s="17"/>
    </row>
    <row r="93" spans="7:34">
      <c r="G93" s="45"/>
      <c r="AH93" s="17"/>
    </row>
    <row r="94" spans="7:34">
      <c r="AH94" s="17"/>
    </row>
    <row r="95" spans="7:34">
      <c r="AH95" s="17"/>
    </row>
    <row r="96" spans="7:34">
      <c r="AH96" s="17"/>
    </row>
    <row r="97" spans="34:34">
      <c r="AH97" s="17"/>
    </row>
    <row r="98" spans="34:34">
      <c r="AH98" s="17"/>
    </row>
    <row r="99" spans="34:34">
      <c r="AH99" s="17"/>
    </row>
    <row r="100" spans="34:34">
      <c r="AH100" s="17"/>
    </row>
    <row r="101" spans="34:34">
      <c r="AH101" s="17"/>
    </row>
    <row r="102" spans="34:34">
      <c r="AH102" s="17"/>
    </row>
    <row r="103" spans="34:34">
      <c r="AH103" s="17"/>
    </row>
    <row r="104" spans="34:34">
      <c r="AH104" s="17"/>
    </row>
    <row r="105" spans="34:34">
      <c r="AH105" s="17"/>
    </row>
    <row r="106" spans="34:34">
      <c r="AH106" s="17"/>
    </row>
    <row r="107" spans="34:34">
      <c r="AH107" s="17"/>
    </row>
    <row r="108" spans="34:34">
      <c r="AH108" s="17"/>
    </row>
    <row r="109" spans="34:34">
      <c r="AH109" s="17"/>
    </row>
    <row r="110" spans="34:34">
      <c r="AH110" s="17"/>
    </row>
    <row r="111" spans="34:34">
      <c r="AH111" s="17"/>
    </row>
    <row r="112" spans="34:34">
      <c r="AH112" s="17"/>
    </row>
    <row r="113" spans="34:34">
      <c r="AH113" s="17"/>
    </row>
    <row r="114" spans="34:34">
      <c r="AH114" s="17"/>
    </row>
    <row r="115" spans="34:34">
      <c r="AH115" s="17"/>
    </row>
    <row r="116" spans="34:34">
      <c r="AH116" s="17"/>
    </row>
    <row r="117" spans="34:34">
      <c r="AH117" s="17"/>
    </row>
    <row r="118" spans="34:34">
      <c r="AH118" s="17"/>
    </row>
    <row r="119" spans="34:34">
      <c r="AH119" s="17"/>
    </row>
    <row r="120" spans="34:34">
      <c r="AH120" s="17"/>
    </row>
    <row r="121" spans="34:34">
      <c r="AH121" s="17"/>
    </row>
    <row r="122" spans="34:34">
      <c r="AH122" s="17"/>
    </row>
    <row r="123" spans="34:34">
      <c r="AH123" s="17"/>
    </row>
    <row r="124" spans="34:34">
      <c r="AH124" s="17"/>
    </row>
    <row r="125" spans="34:34">
      <c r="AH125" s="17"/>
    </row>
    <row r="126" spans="34:34">
      <c r="AH126" s="17"/>
    </row>
    <row r="127" spans="34:34">
      <c r="AH127" s="17"/>
    </row>
    <row r="128" spans="34:34">
      <c r="AH128" s="17"/>
    </row>
    <row r="129" spans="34:34">
      <c r="AH129" s="17"/>
    </row>
    <row r="130" spans="34:34">
      <c r="AH130" s="17"/>
    </row>
    <row r="131" spans="34:34">
      <c r="AH131" s="17"/>
    </row>
    <row r="132" spans="34:34">
      <c r="AH132" s="17"/>
    </row>
    <row r="133" spans="34:34">
      <c r="AH133" s="17"/>
    </row>
    <row r="134" spans="34:34">
      <c r="AH134" s="17"/>
    </row>
    <row r="135" spans="34:34">
      <c r="AH135" s="17"/>
    </row>
    <row r="136" spans="34:34">
      <c r="AH136" s="17"/>
    </row>
    <row r="137" spans="34:34">
      <c r="AH137" s="17"/>
    </row>
    <row r="138" spans="34:34">
      <c r="AH138" s="17"/>
    </row>
    <row r="140" spans="34:34">
      <c r="AH140" s="17"/>
    </row>
    <row r="141" spans="34:34">
      <c r="AH141" s="17"/>
    </row>
    <row r="142" spans="34:34">
      <c r="AH142" s="17"/>
    </row>
    <row r="143" spans="34:34">
      <c r="AH143" s="17"/>
    </row>
    <row r="144" spans="34:34">
      <c r="AH144" s="17"/>
    </row>
    <row r="145" spans="3:34">
      <c r="AH145" s="17"/>
    </row>
    <row r="146" spans="3:34">
      <c r="AH146" s="17"/>
    </row>
    <row r="147" spans="3:34">
      <c r="AH147" s="17"/>
    </row>
    <row r="148" spans="3:34">
      <c r="AH148" s="17"/>
    </row>
    <row r="149" spans="3:34">
      <c r="AH149" s="17"/>
    </row>
    <row r="150" spans="3:34">
      <c r="AH150" s="17"/>
    </row>
    <row r="151" spans="3:34">
      <c r="AH151" s="17"/>
    </row>
    <row r="152" spans="3:34">
      <c r="AH152" s="17"/>
    </row>
    <row r="153" spans="3:34">
      <c r="AH153" s="17"/>
    </row>
    <row r="154" spans="3:34">
      <c r="AH154" s="17"/>
    </row>
    <row r="155" spans="3:34">
      <c r="AH155" s="17"/>
    </row>
    <row r="156" spans="3:34">
      <c r="C156" s="51"/>
      <c r="AH156" s="17"/>
    </row>
    <row r="157" spans="3:34">
      <c r="C157" s="51"/>
      <c r="AH157" s="17"/>
    </row>
    <row r="158" spans="3:34">
      <c r="C158" s="51"/>
      <c r="AH158" s="17"/>
    </row>
    <row r="159" spans="3:34">
      <c r="C159" s="51"/>
      <c r="AH159" s="17"/>
    </row>
    <row r="160" spans="3:34">
      <c r="C160" s="51"/>
      <c r="AH160" s="17"/>
    </row>
    <row r="161" spans="11:34">
      <c r="AH161" s="17"/>
    </row>
    <row r="162" spans="11:34">
      <c r="AH162" s="17"/>
    </row>
    <row r="163" spans="11:34">
      <c r="AH163" s="17"/>
    </row>
    <row r="164" spans="11:34">
      <c r="K164" s="17"/>
      <c r="AH164" s="17"/>
    </row>
    <row r="165" spans="11:34">
      <c r="AH165" s="17"/>
    </row>
    <row r="166" spans="11:34">
      <c r="AH166" s="17"/>
    </row>
    <row r="167" spans="11:34">
      <c r="AH167" s="17"/>
    </row>
    <row r="168" spans="11:34">
      <c r="AH168" s="17"/>
    </row>
    <row r="169" spans="11:34">
      <c r="AH169" s="17"/>
    </row>
    <row r="170" spans="11:34">
      <c r="AH170" s="17"/>
    </row>
    <row r="172" spans="11:34">
      <c r="AH172" s="17"/>
    </row>
    <row r="173" spans="11:34">
      <c r="AH173" s="17"/>
    </row>
    <row r="174" spans="11:34">
      <c r="K174" s="17"/>
      <c r="AH174" s="17"/>
    </row>
    <row r="175" spans="11:34">
      <c r="AH175" s="17"/>
    </row>
    <row r="176" spans="11:34">
      <c r="AH176" s="17"/>
    </row>
    <row r="177" spans="8:34">
      <c r="AH177" s="17"/>
    </row>
    <row r="178" spans="8:34">
      <c r="AH178" s="17"/>
    </row>
    <row r="179" spans="8:34">
      <c r="AH179" s="17"/>
    </row>
    <row r="180" spans="8:34">
      <c r="AH180" s="17"/>
    </row>
    <row r="181" spans="8:34">
      <c r="L181" s="75"/>
      <c r="M181" s="75"/>
      <c r="N181" s="75"/>
      <c r="AH181" s="17"/>
    </row>
    <row r="182" spans="8:34">
      <c r="K182" s="17"/>
      <c r="AH182" s="17"/>
    </row>
    <row r="183" spans="8:34">
      <c r="AH183" s="17"/>
    </row>
    <row r="184" spans="8:34">
      <c r="AH184" s="17"/>
    </row>
    <row r="185" spans="8:34">
      <c r="AH185" s="17"/>
    </row>
    <row r="186" spans="8:34">
      <c r="AH186" s="17"/>
    </row>
    <row r="187" spans="8:34">
      <c r="AH187" s="17"/>
    </row>
    <row r="188" spans="8:34">
      <c r="AH188" s="17"/>
    </row>
    <row r="189" spans="8:34">
      <c r="AH189" s="17"/>
    </row>
    <row r="190" spans="8:34">
      <c r="AH190" s="17"/>
    </row>
    <row r="191" spans="8:34">
      <c r="AH191" s="17"/>
    </row>
    <row r="192" spans="8:34">
      <c r="H192" s="17"/>
      <c r="AH192" s="17"/>
    </row>
  </sheetData>
  <conditionalFormatting sqref="G93">
    <cfRule type="cellIs" dxfId="0" priority="1" operator="equal">
      <formula>0</formula>
    </cfRule>
  </conditionalFormatting>
  <hyperlinks>
    <hyperlink ref="A67" r:id="rId1" xr:uid="{DDA4CBB6-C3FE-43AF-81E5-118CA895682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78779-4B03-46FC-9B2B-B08EC2823832}">
  <dimension ref="A1:I83"/>
  <sheetViews>
    <sheetView topLeftCell="A3" workbookViewId="0">
      <selection activeCell="D32" sqref="D32"/>
    </sheetView>
  </sheetViews>
  <sheetFormatPr baseColWidth="10" defaultRowHeight="15"/>
  <cols>
    <col min="2" max="2" width="23.85546875" bestFit="1" customWidth="1"/>
    <col min="3" max="3" width="20.85546875" bestFit="1" customWidth="1"/>
    <col min="4" max="4" width="31.7109375" bestFit="1" customWidth="1"/>
    <col min="5" max="5" width="23.140625" bestFit="1" customWidth="1"/>
    <col min="6" max="6" width="18.5703125" bestFit="1" customWidth="1"/>
  </cols>
  <sheetData>
    <row r="1" spans="1:8">
      <c r="C1" t="s">
        <v>332</v>
      </c>
      <c r="D1" t="s">
        <v>340</v>
      </c>
    </row>
    <row r="2" spans="1:8">
      <c r="C2">
        <v>2023</v>
      </c>
      <c r="D2">
        <v>0.249</v>
      </c>
    </row>
    <row r="3" spans="1:8">
      <c r="C3">
        <v>2035</v>
      </c>
      <c r="D3">
        <v>0</v>
      </c>
    </row>
    <row r="5" spans="1:8">
      <c r="B5" t="s">
        <v>331</v>
      </c>
      <c r="E5" t="s">
        <v>334</v>
      </c>
    </row>
    <row r="6" spans="1:8">
      <c r="A6" t="s">
        <v>332</v>
      </c>
      <c r="B6" t="s">
        <v>342</v>
      </c>
      <c r="C6" t="s">
        <v>343</v>
      </c>
      <c r="D6" t="s">
        <v>333</v>
      </c>
      <c r="E6" t="s">
        <v>342</v>
      </c>
      <c r="F6" t="s">
        <v>343</v>
      </c>
      <c r="H6" t="s">
        <v>341</v>
      </c>
    </row>
    <row r="7" spans="1:8">
      <c r="A7">
        <v>2017</v>
      </c>
      <c r="B7" s="84">
        <v>4500008.1000000006</v>
      </c>
      <c r="C7">
        <v>0.249</v>
      </c>
      <c r="D7" s="18">
        <f>C7*B7/1000</f>
        <v>1120.5020169000002</v>
      </c>
    </row>
    <row r="8" spans="1:8">
      <c r="A8">
        <v>2018</v>
      </c>
      <c r="B8" s="84">
        <v>4899330</v>
      </c>
      <c r="C8">
        <v>0.249</v>
      </c>
      <c r="D8" s="18">
        <f>C8*B8/1000</f>
        <v>1219.93317</v>
      </c>
    </row>
    <row r="9" spans="1:8">
      <c r="A9">
        <v>2019</v>
      </c>
      <c r="B9">
        <f>110*40786</f>
        <v>4486460</v>
      </c>
      <c r="C9">
        <v>0.249</v>
      </c>
      <c r="D9" s="18">
        <f>C9*B9/1000</f>
        <v>1117.1285399999999</v>
      </c>
      <c r="E9">
        <f>B9</f>
        <v>4486460</v>
      </c>
      <c r="F9" s="83">
        <f>0.249</f>
        <v>0.249</v>
      </c>
      <c r="G9" s="18">
        <f>E9*F9/1000</f>
        <v>1117.1285399999999</v>
      </c>
      <c r="H9">
        <f>C9*E9/1000</f>
        <v>1117.1285399999999</v>
      </c>
    </row>
    <row r="10" spans="1:8">
      <c r="A10">
        <v>2020</v>
      </c>
      <c r="B10">
        <f>116*40786</f>
        <v>4731176</v>
      </c>
      <c r="C10">
        <v>0.249</v>
      </c>
      <c r="D10" s="18">
        <f t="shared" ref="D10:D25" si="0">C10*B10/1000</f>
        <v>1178.0628240000001</v>
      </c>
      <c r="E10">
        <f>B10</f>
        <v>4731176</v>
      </c>
      <c r="F10" s="83">
        <f>0.249</f>
        <v>0.249</v>
      </c>
      <c r="G10" s="18">
        <f t="shared" ref="G10:G25" si="1">E10*F10/1000</f>
        <v>1178.0628240000001</v>
      </c>
      <c r="H10">
        <f>C10*E10/1000</f>
        <v>1178.0628240000001</v>
      </c>
    </row>
    <row r="11" spans="1:8">
      <c r="A11">
        <v>2021</v>
      </c>
      <c r="B11">
        <f>132*40786</f>
        <v>5383752</v>
      </c>
      <c r="C11">
        <v>0.249</v>
      </c>
      <c r="D11" s="18">
        <f t="shared" si="0"/>
        <v>1340.5542479999999</v>
      </c>
      <c r="E11">
        <f>B11</f>
        <v>5383752</v>
      </c>
      <c r="F11" s="83">
        <f>0.249</f>
        <v>0.249</v>
      </c>
      <c r="G11" s="18">
        <f t="shared" si="1"/>
        <v>1340.5542479999999</v>
      </c>
      <c r="H11">
        <f>C11*E11/1000</f>
        <v>1340.5542479999999</v>
      </c>
    </row>
    <row r="12" spans="1:8">
      <c r="A12">
        <v>2022</v>
      </c>
      <c r="B12">
        <f>113*40786</f>
        <v>4608818</v>
      </c>
      <c r="C12">
        <v>0.249</v>
      </c>
      <c r="D12" s="18">
        <f t="shared" si="0"/>
        <v>1147.5956820000001</v>
      </c>
      <c r="E12">
        <f>B12</f>
        <v>4608818</v>
      </c>
      <c r="F12" s="83">
        <f>0.249</f>
        <v>0.249</v>
      </c>
      <c r="G12" s="18">
        <f t="shared" si="1"/>
        <v>1147.5956820000001</v>
      </c>
      <c r="H12">
        <f>C12*E12/1000</f>
        <v>1147.5956820000001</v>
      </c>
    </row>
    <row r="13" spans="1:8">
      <c r="A13">
        <v>2023</v>
      </c>
      <c r="B13">
        <f>101*40786</f>
        <v>4119386</v>
      </c>
      <c r="C13">
        <v>0.249</v>
      </c>
      <c r="D13" s="18">
        <f t="shared" si="0"/>
        <v>1025.727114</v>
      </c>
      <c r="E13">
        <f>B13</f>
        <v>4119386</v>
      </c>
      <c r="F13" s="83">
        <v>0.249</v>
      </c>
      <c r="G13" s="18">
        <f t="shared" si="1"/>
        <v>1025.727114</v>
      </c>
      <c r="H13">
        <f>C13*E13/1000</f>
        <v>1025.727114</v>
      </c>
    </row>
    <row r="14" spans="1:8">
      <c r="A14">
        <v>2024</v>
      </c>
      <c r="B14">
        <f>B13*0.99</f>
        <v>4078192.14</v>
      </c>
      <c r="C14">
        <v>0.249</v>
      </c>
      <c r="D14" s="18">
        <f t="shared" si="0"/>
        <v>1015.46984286</v>
      </c>
      <c r="E14">
        <f>E13*0.9</f>
        <v>3707447.4</v>
      </c>
      <c r="F14" s="83">
        <f>_xlfn.FORECAST.LINEAR(A14,D2:D3,C2:C3)</f>
        <v>0.22824999999999562</v>
      </c>
      <c r="G14" s="18">
        <f t="shared" si="1"/>
        <v>846.22486904998379</v>
      </c>
      <c r="H14">
        <f>C14*E14/1000</f>
        <v>923.15440260000003</v>
      </c>
    </row>
    <row r="15" spans="1:8">
      <c r="A15">
        <v>2025</v>
      </c>
      <c r="B15">
        <f t="shared" ref="B15:B25" si="2">B14*0.99</f>
        <v>4037410.2186000003</v>
      </c>
      <c r="C15">
        <v>0.249</v>
      </c>
      <c r="D15" s="18">
        <f t="shared" si="0"/>
        <v>1005.3151444314001</v>
      </c>
      <c r="E15">
        <f>E14*0.9</f>
        <v>3336702.66</v>
      </c>
      <c r="F15" s="83">
        <f>_xlfn.FORECAST.LINEAR(A15,F13:F14,A13:A14)</f>
        <v>0.20749999999998892</v>
      </c>
      <c r="G15" s="18">
        <f t="shared" si="1"/>
        <v>692.36580194996304</v>
      </c>
      <c r="H15">
        <f>C15*E15/1000</f>
        <v>830.83896234000008</v>
      </c>
    </row>
    <row r="16" spans="1:8">
      <c r="A16">
        <v>2026</v>
      </c>
      <c r="B16">
        <f t="shared" si="2"/>
        <v>3997036.1164140003</v>
      </c>
      <c r="C16">
        <v>0.249</v>
      </c>
      <c r="D16" s="18">
        <f t="shared" si="0"/>
        <v>995.26199298708605</v>
      </c>
      <c r="E16">
        <f>E15*0.9</f>
        <v>3003032.3940000003</v>
      </c>
      <c r="F16" s="83">
        <f>_xlfn.FORECAST.LINEAR(A16,F14:F15,A14:A15)</f>
        <v>0.18674999999998221</v>
      </c>
      <c r="G16" s="18">
        <f t="shared" si="1"/>
        <v>560.81629957944665</v>
      </c>
      <c r="H16">
        <f>C16*E16/1000</f>
        <v>747.75506610600007</v>
      </c>
    </row>
    <row r="17" spans="1:8">
      <c r="A17">
        <v>2027</v>
      </c>
      <c r="B17">
        <f t="shared" si="2"/>
        <v>3957065.7552498602</v>
      </c>
      <c r="C17">
        <v>0.249</v>
      </c>
      <c r="D17" s="18">
        <f t="shared" si="0"/>
        <v>985.30937305721523</v>
      </c>
      <c r="E17">
        <f>E16*0.99</f>
        <v>2973002.0700600003</v>
      </c>
      <c r="F17" s="83">
        <f>_xlfn.FORECAST.LINEAR(A17,F15:F16,A15:A16)</f>
        <v>0.1659999999999755</v>
      </c>
      <c r="G17" s="18">
        <f t="shared" si="1"/>
        <v>493.51834362988723</v>
      </c>
      <c r="H17">
        <f>C17*E17/1000</f>
        <v>740.27751544494004</v>
      </c>
    </row>
    <row r="18" spans="1:8">
      <c r="A18">
        <v>2028</v>
      </c>
      <c r="B18">
        <f t="shared" si="2"/>
        <v>3917495.0976973614</v>
      </c>
      <c r="C18">
        <v>0.249</v>
      </c>
      <c r="D18" s="18">
        <f t="shared" si="0"/>
        <v>975.45627932664297</v>
      </c>
      <c r="E18">
        <f t="shared" ref="E18:E25" si="3">E17*0.99</f>
        <v>2943272.0493594003</v>
      </c>
      <c r="F18" s="83">
        <f>_xlfn.FORECAST.LINEAR(A18,F16:F17,A16:A17)</f>
        <v>0.14524999999996879</v>
      </c>
      <c r="G18" s="18">
        <f t="shared" si="1"/>
        <v>427.51026516936105</v>
      </c>
      <c r="H18">
        <f>C18*E18/1000</f>
        <v>732.87474029049065</v>
      </c>
    </row>
    <row r="19" spans="1:8">
      <c r="A19">
        <v>2029</v>
      </c>
      <c r="B19">
        <f t="shared" si="2"/>
        <v>3878320.1467203875</v>
      </c>
      <c r="C19">
        <v>0.249</v>
      </c>
      <c r="D19" s="18">
        <f t="shared" si="0"/>
        <v>965.7017165333765</v>
      </c>
      <c r="E19">
        <f t="shared" si="3"/>
        <v>2913839.3288658061</v>
      </c>
      <c r="F19" s="83">
        <f>_xlfn.FORECAST.LINEAR(A19,F17:F18,A17:A18)</f>
        <v>0.12449999999996209</v>
      </c>
      <c r="G19" s="18">
        <f t="shared" si="1"/>
        <v>362.77299644368242</v>
      </c>
      <c r="H19">
        <f>C19*E19/1000</f>
        <v>725.54599288758573</v>
      </c>
    </row>
    <row r="20" spans="1:8">
      <c r="A20">
        <v>2030</v>
      </c>
      <c r="B20">
        <f t="shared" si="2"/>
        <v>3839536.9452531836</v>
      </c>
      <c r="C20">
        <v>0.249</v>
      </c>
      <c r="D20" s="18">
        <f t="shared" si="0"/>
        <v>956.04469936804276</v>
      </c>
      <c r="E20">
        <f t="shared" si="3"/>
        <v>2884700.9355771481</v>
      </c>
      <c r="F20" s="83">
        <f>_xlfn.FORECAST.LINEAR(A20,F18:F19,A18:A19)</f>
        <v>0.10374999999995538</v>
      </c>
      <c r="G20" s="18">
        <f t="shared" si="1"/>
        <v>299.28772206600041</v>
      </c>
      <c r="H20">
        <f>C20*E20/1000</f>
        <v>718.29053295870983</v>
      </c>
    </row>
    <row r="21" spans="1:8">
      <c r="A21">
        <v>2031</v>
      </c>
      <c r="B21">
        <f t="shared" si="2"/>
        <v>3801141.5758006517</v>
      </c>
      <c r="C21">
        <v>0.249</v>
      </c>
      <c r="D21" s="18">
        <f t="shared" si="0"/>
        <v>946.48425237436231</v>
      </c>
      <c r="E21">
        <f t="shared" si="3"/>
        <v>2855853.9262213768</v>
      </c>
      <c r="F21" s="83">
        <f>_xlfn.FORECAST.LINEAR(A21,F19:F20,A19:A20)</f>
        <v>8.299999999994867E-2</v>
      </c>
      <c r="G21" s="18">
        <f t="shared" si="1"/>
        <v>237.03587587622769</v>
      </c>
      <c r="H21">
        <f>C21*E21/1000</f>
        <v>711.10762762912282</v>
      </c>
    </row>
    <row r="22" spans="1:8">
      <c r="A22">
        <v>2032</v>
      </c>
      <c r="B22">
        <f t="shared" si="2"/>
        <v>3763130.1600426449</v>
      </c>
      <c r="C22">
        <v>0.249</v>
      </c>
      <c r="D22" s="18">
        <f t="shared" si="0"/>
        <v>937.01940985061856</v>
      </c>
      <c r="E22">
        <f t="shared" si="3"/>
        <v>2827295.386959163</v>
      </c>
      <c r="F22" s="83">
        <f>_xlfn.FORECAST.LINEAR(A22,F20:F21,A20:A21)</f>
        <v>6.2249999999941963E-2</v>
      </c>
      <c r="G22" s="18">
        <f t="shared" si="1"/>
        <v>175.99913783804379</v>
      </c>
      <c r="H22">
        <f>C22*E22/1000</f>
        <v>703.99655135283149</v>
      </c>
    </row>
    <row r="23" spans="1:8">
      <c r="A23">
        <v>2033</v>
      </c>
      <c r="B23">
        <f t="shared" si="2"/>
        <v>3725498.8584422185</v>
      </c>
      <c r="C23">
        <v>0.249</v>
      </c>
      <c r="D23" s="18">
        <f t="shared" si="0"/>
        <v>927.64921575211247</v>
      </c>
      <c r="E23">
        <f t="shared" si="3"/>
        <v>2799022.4330895715</v>
      </c>
      <c r="F23" s="83">
        <f>_xlfn.FORECAST.LINEAR(A23,F21:F22,A21:A22)</f>
        <v>4.1499999999935255E-2</v>
      </c>
      <c r="G23" s="18">
        <f t="shared" si="1"/>
        <v>116.159430973036</v>
      </c>
      <c r="H23">
        <f>C23*E23/1000</f>
        <v>696.95658583930333</v>
      </c>
    </row>
    <row r="24" spans="1:8">
      <c r="A24">
        <v>2034</v>
      </c>
      <c r="B24">
        <f t="shared" si="2"/>
        <v>3688243.8698577965</v>
      </c>
      <c r="C24">
        <v>0.249</v>
      </c>
      <c r="D24" s="18">
        <f t="shared" si="0"/>
        <v>918.37272359459132</v>
      </c>
      <c r="E24">
        <f t="shared" si="3"/>
        <v>2771032.208758676</v>
      </c>
      <c r="F24" s="83">
        <f>_xlfn.FORECAST.LINEAR(A24,F22:F23,A22:A23)</f>
        <v>2.0749999999928548E-2</v>
      </c>
      <c r="G24" s="18">
        <f t="shared" si="1"/>
        <v>57.49891833154453</v>
      </c>
      <c r="H24">
        <f>C24*E24/1000</f>
        <v>689.9870199809103</v>
      </c>
    </row>
    <row r="25" spans="1:8">
      <c r="A25">
        <v>2035</v>
      </c>
      <c r="B25">
        <f t="shared" si="2"/>
        <v>3651361.4311592183</v>
      </c>
      <c r="C25">
        <v>0.249</v>
      </c>
      <c r="D25" s="18">
        <f t="shared" si="0"/>
        <v>909.18899635864534</v>
      </c>
      <c r="E25">
        <f t="shared" si="3"/>
        <v>2743321.8866710891</v>
      </c>
      <c r="F25" s="83">
        <f>0</f>
        <v>0</v>
      </c>
      <c r="G25" s="18">
        <f t="shared" si="1"/>
        <v>0</v>
      </c>
      <c r="H25">
        <f>C25*E25/1000</f>
        <v>683.08714978110117</v>
      </c>
    </row>
    <row r="30" spans="1:8">
      <c r="C30" t="s">
        <v>337</v>
      </c>
      <c r="E30" t="s">
        <v>339</v>
      </c>
      <c r="G30" t="s">
        <v>332</v>
      </c>
      <c r="H30" t="s">
        <v>338</v>
      </c>
    </row>
    <row r="31" spans="1:8">
      <c r="B31">
        <v>2020</v>
      </c>
      <c r="C31" s="83">
        <v>0.378</v>
      </c>
      <c r="D31">
        <v>1</v>
      </c>
      <c r="E31">
        <v>0</v>
      </c>
      <c r="G31">
        <v>2024</v>
      </c>
      <c r="H31">
        <v>500</v>
      </c>
    </row>
    <row r="32" spans="1:8">
      <c r="B32">
        <v>2030</v>
      </c>
      <c r="C32" s="83">
        <f>C31*0.2</f>
        <v>7.5600000000000001E-2</v>
      </c>
      <c r="D32">
        <v>1.2849999999999999</v>
      </c>
      <c r="E32">
        <v>1</v>
      </c>
      <c r="G32">
        <v>2030</v>
      </c>
      <c r="H32">
        <v>1080</v>
      </c>
    </row>
    <row r="33" spans="1:8">
      <c r="B33">
        <v>2045</v>
      </c>
      <c r="C33" s="13">
        <v>0</v>
      </c>
      <c r="D33">
        <v>2.2000000000000002</v>
      </c>
      <c r="E33">
        <v>1</v>
      </c>
      <c r="G33">
        <v>2035</v>
      </c>
      <c r="H33">
        <f>H32+1324</f>
        <v>2404</v>
      </c>
    </row>
    <row r="37" spans="1:8">
      <c r="B37" t="s">
        <v>331</v>
      </c>
      <c r="E37" t="s">
        <v>334</v>
      </c>
    </row>
    <row r="38" spans="1:8">
      <c r="A38" t="s">
        <v>332</v>
      </c>
      <c r="B38" t="s">
        <v>335</v>
      </c>
      <c r="C38" t="s">
        <v>343</v>
      </c>
      <c r="D38" t="s">
        <v>336</v>
      </c>
      <c r="E38" t="s">
        <v>313</v>
      </c>
    </row>
    <row r="40" spans="1:8">
      <c r="B40" s="3"/>
    </row>
    <row r="41" spans="1:8">
      <c r="A41">
        <f>A42-1</f>
        <v>2017</v>
      </c>
      <c r="B41" s="85">
        <v>1177385</v>
      </c>
      <c r="C41">
        <v>0.53700000000000003</v>
      </c>
      <c r="D41" s="18">
        <f>C41*B41/1000</f>
        <v>632.25574500000005</v>
      </c>
    </row>
    <row r="42" spans="1:8">
      <c r="A42">
        <f>A43-1</f>
        <v>2018</v>
      </c>
      <c r="B42" s="85">
        <v>1146786</v>
      </c>
      <c r="C42">
        <v>0.51600000000000001</v>
      </c>
      <c r="D42" s="18">
        <f>C42*B42/1000</f>
        <v>591.74157600000001</v>
      </c>
    </row>
    <row r="43" spans="1:8">
      <c r="A43">
        <v>2019</v>
      </c>
      <c r="B43" s="85">
        <v>1044911.5400000003</v>
      </c>
      <c r="C43">
        <v>0.434</v>
      </c>
      <c r="D43" s="18">
        <f>C43*B43/1000</f>
        <v>453.49160836000016</v>
      </c>
      <c r="E43" s="3">
        <f>B43</f>
        <v>1044911.5400000003</v>
      </c>
      <c r="F43" s="18">
        <f>E43*C43/1000</f>
        <v>453.49160836000016</v>
      </c>
    </row>
    <row r="44" spans="1:8">
      <c r="A44">
        <v>2020</v>
      </c>
      <c r="B44" s="85">
        <v>824884.76</v>
      </c>
      <c r="C44">
        <v>0.378</v>
      </c>
      <c r="D44" s="18">
        <f t="shared" ref="D44:D59" si="4">C44*B44/1000</f>
        <v>311.80643928000001</v>
      </c>
      <c r="E44" s="3">
        <f>B44</f>
        <v>824884.76</v>
      </c>
      <c r="F44" s="18">
        <f>E44*C44/1000</f>
        <v>311.80643928000001</v>
      </c>
    </row>
    <row r="45" spans="1:8">
      <c r="A45">
        <v>2021</v>
      </c>
      <c r="B45" s="85">
        <v>714247.11000000022</v>
      </c>
      <c r="C45">
        <v>0.42199999999999999</v>
      </c>
      <c r="D45" s="18">
        <f t="shared" si="4"/>
        <v>301.41228042000006</v>
      </c>
      <c r="E45" s="3">
        <f>B45</f>
        <v>714247.11000000022</v>
      </c>
      <c r="F45" s="18">
        <f>E45*C45/1000</f>
        <v>301.41228042000006</v>
      </c>
    </row>
    <row r="46" spans="1:8">
      <c r="A46">
        <v>2022</v>
      </c>
      <c r="B46" s="85">
        <v>757509.46999999986</v>
      </c>
      <c r="C46">
        <v>0.45300000000000001</v>
      </c>
      <c r="D46" s="18">
        <f t="shared" si="4"/>
        <v>343.15178990999993</v>
      </c>
      <c r="E46" s="3">
        <f>B46</f>
        <v>757509.46999999986</v>
      </c>
      <c r="F46" s="18">
        <f>E46*C46/1000</f>
        <v>343.15178990999993</v>
      </c>
    </row>
    <row r="47" spans="1:8">
      <c r="A47">
        <v>2023</v>
      </c>
      <c r="B47" s="85">
        <v>608052.43999999994</v>
      </c>
      <c r="C47">
        <v>0.371</v>
      </c>
      <c r="D47" s="18">
        <f t="shared" si="4"/>
        <v>225.58745523999997</v>
      </c>
      <c r="E47" s="3">
        <f>B47</f>
        <v>608052.43999999994</v>
      </c>
      <c r="F47" s="18">
        <f>E47*C47/1000</f>
        <v>225.58745523999997</v>
      </c>
    </row>
    <row r="48" spans="1:8">
      <c r="A48">
        <v>2024</v>
      </c>
      <c r="B48" s="3">
        <f>E48</f>
        <v>583850.41816000245</v>
      </c>
      <c r="C48" s="83">
        <f>_xlfn.FORECAST.LINEAR(A48,C$31:C$32,B$31:B$32)</f>
        <v>0.25703999999999638</v>
      </c>
      <c r="D48" s="18">
        <f t="shared" si="4"/>
        <v>150.0729114838449</v>
      </c>
      <c r="E48" s="3">
        <f>(E$47+_xlfn.FORECAST.LINEAR(A48,E$31:E$32,B$31:B$32)*800000)*_xlfn.FORECAST.LINEAR(A48,D$31:D$32,B$31:B$32)-_xlfn.FORECAST.LINEAR(A48,H$31:H$32,G$31:G$32)*900</f>
        <v>583850.41816000245</v>
      </c>
      <c r="F48" s="18">
        <f>E48*C48/1000</f>
        <v>150.0729114838449</v>
      </c>
    </row>
    <row r="49" spans="1:6">
      <c r="A49">
        <v>2025</v>
      </c>
      <c r="B49" s="3">
        <f>B$48-450000+_xlfn.FORECAST.LINEAR(A49,E$31:E$32,B$31:B$32)*800000+'Jahreswerte - Emden'!G$7</f>
        <v>624138.41816000245</v>
      </c>
      <c r="C49" s="83">
        <f>_xlfn.FORECAST.LINEAR(A49,C$31:C$32,B$31:B$32)</f>
        <v>0.22679999999999723</v>
      </c>
      <c r="D49" s="18">
        <f t="shared" si="4"/>
        <v>141.55459323868683</v>
      </c>
      <c r="E49" s="3">
        <f>(E$47+_xlfn.FORECAST.LINEAR(A49,E$31:E$32,B$31:B$32)*800000)*_xlfn.FORECAST.LINEAR(A49,D$31:D$32,B$31:B$32)-_xlfn.FORECAST.LINEAR(A49,H$31:H$32,G$31:G$32)*900</f>
        <v>614699.91270000685</v>
      </c>
      <c r="F49" s="18">
        <f>E49*C49/1000</f>
        <v>139.41394020035986</v>
      </c>
    </row>
    <row r="50" spans="1:6">
      <c r="A50">
        <v>2026</v>
      </c>
      <c r="B50" s="3">
        <f>B$48-450000+_xlfn.FORECAST.LINEAR(A50,E$31:E$32,B$31:B$32)*800000+'Jahreswerte - Emden'!G$7</f>
        <v>704138.41816002061</v>
      </c>
      <c r="C50" s="83">
        <f>_xlfn.FORECAST.LINEAR(A50,C$31:C$32,B$31:B$32)</f>
        <v>0.19655999999999807</v>
      </c>
      <c r="D50" s="18">
        <f t="shared" si="4"/>
        <v>138.40544747353229</v>
      </c>
      <c r="E50" s="3">
        <f>(E$47+_xlfn.FORECAST.LINEAR(A50,E$31:E$32,B$31:B$32)*800000)*_xlfn.FORECAST.LINEAR(A50,D$31:D$32,B$31:B$32)-_xlfn.FORECAST.LINEAR(A50,H$31:H$32,G$31:G$32)*900</f>
        <v>650109.40724000416</v>
      </c>
      <c r="F50" s="18">
        <f>E50*C50/1000</f>
        <v>127.78550508709397</v>
      </c>
    </row>
    <row r="51" spans="1:6">
      <c r="A51">
        <v>2027</v>
      </c>
      <c r="B51" s="3">
        <f>B$48-450000+_xlfn.FORECAST.LINEAR(A51,E$31:E$32,B$31:B$32)*800000+'Jahreswerte - Emden'!G$7</f>
        <v>784138.41816001607</v>
      </c>
      <c r="C51" s="83">
        <f>_xlfn.FORECAST.LINEAR(A51,C$31:C$32,B$31:B$32)</f>
        <v>0.16631999999999181</v>
      </c>
      <c r="D51" s="18">
        <f t="shared" si="4"/>
        <v>130.41790170836745</v>
      </c>
      <c r="E51" s="3">
        <f>(E$47+_xlfn.FORECAST.LINEAR(A51,E$31:E$32,B$31:B$32)*800000)*_xlfn.FORECAST.LINEAR(A51,D$31:D$32,B$31:B$32)-_xlfn.FORECAST.LINEAR(A51,H$31:H$32,G$31:G$32)*900</f>
        <v>690078.90178000834</v>
      </c>
      <c r="F51" s="18">
        <f>E51*C51/1000</f>
        <v>114.77392294404534</v>
      </c>
    </row>
    <row r="52" spans="1:6">
      <c r="A52">
        <v>2028</v>
      </c>
      <c r="B52" s="3">
        <f>B$48-450000+_xlfn.FORECAST.LINEAR(A52,E$31:E$32,B$31:B$32)*800000+'Jahreswerte - Emden'!G$7</f>
        <v>864138.41816001153</v>
      </c>
      <c r="C52" s="83">
        <f>_xlfn.FORECAST.LINEAR(A52,C$31:C$32,B$31:B$32)</f>
        <v>0.13607999999999265</v>
      </c>
      <c r="D52" s="18">
        <f t="shared" si="4"/>
        <v>117.59195594320801</v>
      </c>
      <c r="E52" s="3">
        <f>(E$47+_xlfn.FORECAST.LINEAR(A52,E$31:E$32,B$31:B$32)*800000)*_xlfn.FORECAST.LINEAR(A52,D$31:D$32,B$31:B$32)-_xlfn.FORECAST.LINEAR(A52,H$31:H$32,G$31:G$32)*900</f>
        <v>734608.39632001275</v>
      </c>
      <c r="F52" s="18">
        <f>E52*C52/1000</f>
        <v>99.965510571221941</v>
      </c>
    </row>
    <row r="53" spans="1:6">
      <c r="A53">
        <v>2029</v>
      </c>
      <c r="B53" s="3">
        <f>B$48-450000+_xlfn.FORECAST.LINEAR(A53,E$31:E$32,B$31:B$32)*800000+'Jahreswerte - Emden'!G$7</f>
        <v>944138.41816000699</v>
      </c>
      <c r="C53" s="83">
        <f>_xlfn.FORECAST.LINEAR(A53,C$31:C$32,B$31:B$32)</f>
        <v>0.10583999999999349</v>
      </c>
      <c r="D53" s="18">
        <f t="shared" si="4"/>
        <v>99.927610178048994</v>
      </c>
      <c r="E53" s="3">
        <f>(E$47+_xlfn.FORECAST.LINEAR(A53,E$31:E$32,B$31:B$32)*800000)*_xlfn.FORECAST.LINEAR(A53,D$31:D$32,B$31:B$32)-_xlfn.FORECAST.LINEAR(A53,H$31:H$32,G$31:G$32)*900</f>
        <v>783697.8908599912</v>
      </c>
      <c r="F53" s="18">
        <f>E53*C53/1000</f>
        <v>82.946584768616376</v>
      </c>
    </row>
    <row r="54" spans="1:6">
      <c r="A54">
        <v>2030</v>
      </c>
      <c r="B54" s="3">
        <f>B$48-450000+_xlfn.FORECAST.LINEAR(A54,E$31:E$32,B$31:B$32)*800000+'Jahreswerte - Emden'!G$7</f>
        <v>1024138.4181600024</v>
      </c>
      <c r="C54" s="83">
        <f>_xlfn.FORECAST.LINEAR(A54,C$31:C$32,B$31:B$32)</f>
        <v>7.5599999999994338E-2</v>
      </c>
      <c r="D54" s="18">
        <f t="shared" si="4"/>
        <v>77.424864412890386</v>
      </c>
      <c r="E54" s="3">
        <f>(E$47+_xlfn.FORECAST.LINEAR(A54,E$31:E$32,B$31:B$32)*800000)*_xlfn.FORECAST.LINEAR(A54,D$31:D$32,B$31:B$32)-_xlfn.FORECAST.LINEAR(A54,H$31:H$32,G$31:G$32)*900</f>
        <v>837347.38539999514</v>
      </c>
      <c r="F54" s="18">
        <f>E54*C54/1000</f>
        <v>63.303462336234894</v>
      </c>
    </row>
    <row r="55" spans="1:6">
      <c r="A55">
        <v>2031</v>
      </c>
      <c r="B55" s="3">
        <f>B$47-450000+800000+'Jahreswerte - Emden'!G$7</f>
        <v>1048340.44</v>
      </c>
      <c r="C55" s="83">
        <f>_xlfn.FORECAST.LINEAR(A55,C$32:C$33,B$32:B$33)</f>
        <v>7.05600000000004E-2</v>
      </c>
      <c r="D55" s="18">
        <f t="shared" si="4"/>
        <v>73.970901446400418</v>
      </c>
      <c r="E55" s="3">
        <f>(E$47+_xlfn.FORECAST.LINEAR(A55,E$32:E$33,B$32:B$33)*800000)*_xlfn.FORECAST.LINEAR(A55,D$32:D$33,B$32:B$33)-_xlfn.FORECAST.LINEAR(A55,H$32:H$33,G$32:G$33)*900</f>
        <v>684918.58423996321</v>
      </c>
      <c r="F55" s="18">
        <f>E55*C55/1000</f>
        <v>48.327855303972079</v>
      </c>
    </row>
    <row r="56" spans="1:6">
      <c r="A56">
        <v>2032</v>
      </c>
      <c r="B56" s="3">
        <f>B$47-450000+800000+'Jahreswerte - Emden'!G$7</f>
        <v>1048340.44</v>
      </c>
      <c r="C56" s="83">
        <f>_xlfn.FORECAST.LINEAR(A56,C$32:C$33,B$32:B$33)</f>
        <v>6.5520000000001133E-2</v>
      </c>
      <c r="D56" s="18">
        <f t="shared" si="4"/>
        <v>68.687265628801185</v>
      </c>
      <c r="E56" s="3">
        <f>(E$47+_xlfn.FORECAST.LINEAR(A56,E$32:E$33,B$32:B$33)*800000)*_xlfn.FORECAST.LINEAR(A56,D$32:D$33,B$32:B$33)-_xlfn.FORECAST.LINEAR(A56,H$32:H$33,G$32:G$33)*900</f>
        <v>532489.78308003582</v>
      </c>
      <c r="F56" s="18">
        <f>E56*C56/1000</f>
        <v>34.888730587404545</v>
      </c>
    </row>
    <row r="57" spans="1:6">
      <c r="A57">
        <v>2033</v>
      </c>
      <c r="B57" s="3">
        <f>B$47-450000+800000+'Jahreswerte - Emden'!G$7</f>
        <v>1048340.44</v>
      </c>
      <c r="C57" s="83">
        <f>_xlfn.FORECAST.LINEAR(A57,C$32:C$33,B$32:B$33)</f>
        <v>6.0480000000000089E-2</v>
      </c>
      <c r="D57" s="18">
        <f t="shared" si="4"/>
        <v>63.403629811200091</v>
      </c>
      <c r="E57" s="3">
        <f>(E$47+_xlfn.FORECAST.LINEAR(A57,E$32:E$33,B$32:B$33)*800000)*_xlfn.FORECAST.LINEAR(A57,D$32:D$33,B$32:B$33)-_xlfn.FORECAST.LINEAR(A57,H$32:H$33,G$32:G$33)*900</f>
        <v>380060.98191998387</v>
      </c>
      <c r="F57" s="18">
        <f>E57*C57/1000</f>
        <v>22.986088186520657</v>
      </c>
    </row>
    <row r="58" spans="1:6">
      <c r="A58">
        <v>2034</v>
      </c>
      <c r="B58" s="3">
        <f>B$47-450000+800000+'Jahreswerte - Emden'!G$7</f>
        <v>1048340.44</v>
      </c>
      <c r="C58" s="83">
        <f>_xlfn.FORECAST.LINEAR(A58,C$32:C$33,B$32:B$33)</f>
        <v>5.5440000000000822E-2</v>
      </c>
      <c r="D58" s="18">
        <f t="shared" si="4"/>
        <v>58.119993993600858</v>
      </c>
      <c r="E58" s="3">
        <f>(E$47+_xlfn.FORECAST.LINEAR(A58,E$32:E$33,B$32:B$33)*800000)*_xlfn.FORECAST.LINEAR(A58,D$32:D$33,B$32:B$33)-_xlfn.FORECAST.LINEAR(A58,H$32:H$33,G$32:G$33)*900</f>
        <v>227632.18075995194</v>
      </c>
      <c r="F58" s="18">
        <f>E58*C58/1000</f>
        <v>12.619928101331924</v>
      </c>
    </row>
    <row r="59" spans="1:6">
      <c r="A59">
        <v>2035</v>
      </c>
      <c r="B59" s="3">
        <f>B$47-450000+800000+'Jahreswerte - Emden'!G$7</f>
        <v>1048340.44</v>
      </c>
      <c r="C59" s="83">
        <f>_xlfn.FORECAST.LINEAR(A59,C$32:C$33,B$32:B$33)</f>
        <v>5.0399999999999778E-2</v>
      </c>
      <c r="D59" s="18">
        <f t="shared" si="4"/>
        <v>52.836358175999763</v>
      </c>
      <c r="E59" s="3">
        <f>(E$47+_xlfn.FORECAST.LINEAR(A59,E$32:E$33,B$32:B$33)*800000)*_xlfn.FORECAST.LINEAR(A59,D$32:D$33,B$32:B$33)-_xlfn.FORECAST.LINEAR(A59,H$32:H$33,G$32:G$33)*900</f>
        <v>75203.379600004759</v>
      </c>
      <c r="F59" s="18">
        <f>E59*C59/1000</f>
        <v>3.7902503318402232</v>
      </c>
    </row>
    <row r="64" spans="1:6">
      <c r="A64" t="s">
        <v>341</v>
      </c>
      <c r="B64" t="s">
        <v>344</v>
      </c>
      <c r="C64" t="s">
        <v>345</v>
      </c>
      <c r="D64" t="s">
        <v>346</v>
      </c>
    </row>
    <row r="65" spans="1:9">
      <c r="A65">
        <f>A66-1</f>
        <v>2017</v>
      </c>
      <c r="B65" s="18">
        <f>D41+D7</f>
        <v>1752.7577619000003</v>
      </c>
      <c r="C65" s="18">
        <f>B65</f>
        <v>1752.7577619000003</v>
      </c>
      <c r="D65" s="18">
        <f>D41+D7</f>
        <v>1752.7577619000003</v>
      </c>
    </row>
    <row r="66" spans="1:9">
      <c r="A66">
        <f>A67-1</f>
        <v>2018</v>
      </c>
      <c r="B66" s="18">
        <f t="shared" ref="B66:B83" si="5">D42+D8</f>
        <v>1811.6747460000001</v>
      </c>
      <c r="C66" s="18">
        <f t="shared" ref="C66:C71" si="6">B66</f>
        <v>1811.6747460000001</v>
      </c>
      <c r="D66" s="18">
        <f t="shared" ref="D66:D72" si="7">D42+D8</f>
        <v>1811.6747460000001</v>
      </c>
    </row>
    <row r="67" spans="1:9">
      <c r="A67">
        <v>2019</v>
      </c>
      <c r="B67" s="18">
        <f t="shared" si="5"/>
        <v>1570.62014836</v>
      </c>
      <c r="C67" s="18">
        <f t="shared" si="6"/>
        <v>1570.62014836</v>
      </c>
      <c r="D67" s="18">
        <f>(Gesamtemissionen!B12+Gesamtemissionen!B$13)/1000</f>
        <v>1351.98203226192</v>
      </c>
      <c r="E67" s="18"/>
      <c r="F67" s="18"/>
      <c r="G67" s="18"/>
      <c r="H67" s="18"/>
      <c r="I67" s="18"/>
    </row>
    <row r="68" spans="1:9">
      <c r="A68">
        <v>2020</v>
      </c>
      <c r="B68" s="18">
        <f t="shared" si="5"/>
        <v>1489.86926328</v>
      </c>
      <c r="C68" s="18">
        <f t="shared" si="6"/>
        <v>1489.86926328</v>
      </c>
      <c r="D68" s="18">
        <f t="shared" si="7"/>
        <v>1489.86926328</v>
      </c>
    </row>
    <row r="69" spans="1:9">
      <c r="A69">
        <v>2021</v>
      </c>
      <c r="B69" s="18">
        <f t="shared" si="5"/>
        <v>1641.96652842</v>
      </c>
      <c r="C69" s="18">
        <f t="shared" si="6"/>
        <v>1641.96652842</v>
      </c>
      <c r="D69" s="18">
        <f t="shared" si="7"/>
        <v>1641.96652842</v>
      </c>
    </row>
    <row r="70" spans="1:9">
      <c r="A70">
        <v>2022</v>
      </c>
      <c r="B70" s="18">
        <f t="shared" si="5"/>
        <v>1490.7474719100001</v>
      </c>
      <c r="C70" s="18">
        <f t="shared" si="6"/>
        <v>1490.7474719100001</v>
      </c>
      <c r="D70" s="18">
        <f t="shared" si="7"/>
        <v>1490.7474719100001</v>
      </c>
    </row>
    <row r="71" spans="1:9">
      <c r="A71">
        <v>2023</v>
      </c>
      <c r="B71" s="18">
        <f t="shared" si="5"/>
        <v>1251.3145692400001</v>
      </c>
      <c r="C71" s="18">
        <f t="shared" si="6"/>
        <v>1251.3145692400001</v>
      </c>
      <c r="D71" s="18">
        <f t="shared" si="7"/>
        <v>1251.3145692400001</v>
      </c>
    </row>
    <row r="72" spans="1:9">
      <c r="A72">
        <v>2024</v>
      </c>
      <c r="B72" s="18">
        <f t="shared" si="5"/>
        <v>1165.542754343845</v>
      </c>
      <c r="C72">
        <f t="shared" ref="C72:C83" si="8">G14+F46</f>
        <v>1189.3766589599836</v>
      </c>
      <c r="D72" s="18">
        <f t="shared" si="7"/>
        <v>1165.542754343845</v>
      </c>
    </row>
    <row r="73" spans="1:9">
      <c r="A73">
        <v>2025</v>
      </c>
      <c r="B73" s="18">
        <f t="shared" si="5"/>
        <v>1146.869737670087</v>
      </c>
      <c r="C73">
        <f t="shared" si="8"/>
        <v>917.95325718996298</v>
      </c>
    </row>
    <row r="74" spans="1:9">
      <c r="A74">
        <v>2026</v>
      </c>
      <c r="B74" s="18">
        <f t="shared" si="5"/>
        <v>1133.6674404606183</v>
      </c>
      <c r="C74">
        <f t="shared" si="8"/>
        <v>710.88921106329155</v>
      </c>
    </row>
    <row r="75" spans="1:9">
      <c r="A75">
        <v>2027</v>
      </c>
      <c r="B75" s="18">
        <f t="shared" si="5"/>
        <v>1115.7272747655827</v>
      </c>
      <c r="C75">
        <f t="shared" si="8"/>
        <v>632.93228383024712</v>
      </c>
    </row>
    <row r="76" spans="1:9">
      <c r="A76">
        <v>2028</v>
      </c>
      <c r="B76" s="18">
        <f t="shared" si="5"/>
        <v>1093.0482352698509</v>
      </c>
      <c r="C76">
        <f t="shared" si="8"/>
        <v>555.29577025645506</v>
      </c>
    </row>
    <row r="77" spans="1:9">
      <c r="A77">
        <v>2029</v>
      </c>
      <c r="B77" s="18">
        <f t="shared" si="5"/>
        <v>1065.6293267114254</v>
      </c>
      <c r="C77">
        <f t="shared" si="8"/>
        <v>477.54691938772777</v>
      </c>
    </row>
    <row r="78" spans="1:9">
      <c r="A78">
        <v>2030</v>
      </c>
      <c r="B78" s="18">
        <f t="shared" si="5"/>
        <v>1033.4695637809332</v>
      </c>
      <c r="C78">
        <f t="shared" si="8"/>
        <v>399.25323263722237</v>
      </c>
    </row>
    <row r="79" spans="1:9">
      <c r="A79">
        <v>2031</v>
      </c>
      <c r="B79" s="18">
        <f t="shared" si="5"/>
        <v>1020.4551538207627</v>
      </c>
      <c r="C79">
        <f t="shared" si="8"/>
        <v>319.98246064484408</v>
      </c>
    </row>
    <row r="80" spans="1:9">
      <c r="A80">
        <v>2032</v>
      </c>
      <c r="B80" s="18">
        <f t="shared" si="5"/>
        <v>1005.7066754794198</v>
      </c>
      <c r="C80">
        <f t="shared" si="8"/>
        <v>239.30260017427869</v>
      </c>
    </row>
    <row r="81" spans="1:3">
      <c r="A81">
        <v>2033</v>
      </c>
      <c r="B81" s="18">
        <f t="shared" si="5"/>
        <v>991.05284556331253</v>
      </c>
      <c r="C81">
        <f t="shared" si="8"/>
        <v>164.48728627700808</v>
      </c>
    </row>
    <row r="82" spans="1:3">
      <c r="A82">
        <v>2034</v>
      </c>
      <c r="B82" s="18">
        <f t="shared" si="5"/>
        <v>976.49271758819214</v>
      </c>
      <c r="C82">
        <f t="shared" si="8"/>
        <v>92.387648918949083</v>
      </c>
    </row>
    <row r="83" spans="1:3">
      <c r="A83">
        <v>2035</v>
      </c>
      <c r="B83" s="18">
        <f t="shared" si="5"/>
        <v>962.02535453464509</v>
      </c>
      <c r="C83">
        <f t="shared" si="8"/>
        <v>22.986088186520657</v>
      </c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88D32-384C-4529-9B1C-93B9C7881775}">
  <dimension ref="A1:J31"/>
  <sheetViews>
    <sheetView workbookViewId="0">
      <selection activeCell="H33" sqref="H33"/>
    </sheetView>
  </sheetViews>
  <sheetFormatPr baseColWidth="10" defaultRowHeight="15"/>
  <cols>
    <col min="8" max="8" width="163.42578125" bestFit="1" customWidth="1"/>
  </cols>
  <sheetData>
    <row r="1" spans="1:10">
      <c r="B1">
        <v>2024</v>
      </c>
      <c r="C1" s="51"/>
    </row>
    <row r="2" spans="1:10">
      <c r="A2" t="s">
        <v>49</v>
      </c>
      <c r="C2" s="52" t="s">
        <v>51</v>
      </c>
      <c r="D2" t="s">
        <v>19</v>
      </c>
      <c r="E2" t="s">
        <v>52</v>
      </c>
      <c r="F2" t="s">
        <v>53</v>
      </c>
      <c r="G2" t="s">
        <v>19</v>
      </c>
      <c r="H2" t="s">
        <v>52</v>
      </c>
      <c r="J2" t="s">
        <v>54</v>
      </c>
    </row>
    <row r="3" spans="1:10">
      <c r="A3">
        <v>1</v>
      </c>
      <c r="B3" s="21" t="s">
        <v>55</v>
      </c>
      <c r="C3" s="22">
        <f>'Jahreswerte - Emden'!N7+'Jahreswerte - Leer'!D8+'Jahreswerte - Leer'!E8</f>
        <v>4271773</v>
      </c>
      <c r="D3" s="21" t="s">
        <v>263</v>
      </c>
      <c r="E3" s="21" t="s">
        <v>56</v>
      </c>
      <c r="F3" s="71">
        <f>3.2508*0.0558*1000</f>
        <v>181.39464000000001</v>
      </c>
      <c r="G3" s="21" t="s">
        <v>57</v>
      </c>
      <c r="H3" s="21" t="s">
        <v>264</v>
      </c>
      <c r="I3" s="23" t="s">
        <v>279</v>
      </c>
      <c r="J3" s="47">
        <f>C3*F3/1000</f>
        <v>774876.72549672006</v>
      </c>
    </row>
    <row r="4" spans="1:10">
      <c r="B4" s="21" t="s">
        <v>58</v>
      </c>
      <c r="C4" s="22">
        <f>Mobilität!C36</f>
        <v>3104.9540799507367</v>
      </c>
      <c r="D4" s="21" t="s">
        <v>107</v>
      </c>
      <c r="E4" s="21" t="s">
        <v>56</v>
      </c>
      <c r="F4" s="21">
        <v>2696.47</v>
      </c>
      <c r="G4" s="21" t="s">
        <v>60</v>
      </c>
      <c r="H4" s="21" t="s">
        <v>281</v>
      </c>
      <c r="I4" s="23" t="s">
        <v>283</v>
      </c>
      <c r="J4" s="47">
        <f>C4*F4/1000</f>
        <v>8372.4155279647621</v>
      </c>
    </row>
    <row r="5" spans="1:10">
      <c r="B5" s="21" t="s">
        <v>62</v>
      </c>
      <c r="C5" s="22">
        <f>Mobilität!C52</f>
        <v>3047.629805203469</v>
      </c>
      <c r="D5" s="21" t="s">
        <v>107</v>
      </c>
      <c r="E5" s="21" t="s">
        <v>56</v>
      </c>
      <c r="F5" s="21">
        <v>2445.59</v>
      </c>
      <c r="G5" s="21" t="s">
        <v>60</v>
      </c>
      <c r="H5" s="21" t="s">
        <v>305</v>
      </c>
      <c r="I5" s="23" t="s">
        <v>283</v>
      </c>
      <c r="J5" s="47">
        <f>C5*F5/1000</f>
        <v>7453.2529753075523</v>
      </c>
    </row>
    <row r="6" spans="1:10">
      <c r="A6">
        <v>2</v>
      </c>
      <c r="B6" s="21" t="s">
        <v>267</v>
      </c>
      <c r="C6" s="22">
        <f>'Jahreswerte - Emden'!F7+'Jahreswerte - Leer'!B8+'Jahreswerte - Leer'!C8+'Jahreswerte - Leer'!M8+Mobilität!N55</f>
        <v>798851.41</v>
      </c>
      <c r="D6" s="21" t="s">
        <v>20</v>
      </c>
      <c r="E6" s="21" t="s">
        <v>56</v>
      </c>
      <c r="F6" s="21">
        <v>333</v>
      </c>
      <c r="G6" s="21" t="s">
        <v>57</v>
      </c>
      <c r="H6" s="23" t="s">
        <v>329</v>
      </c>
      <c r="I6" s="23" t="s">
        <v>111</v>
      </c>
      <c r="J6" s="47">
        <f>C6*F6/1000</f>
        <v>266017.51952999999</v>
      </c>
    </row>
    <row r="7" spans="1:10">
      <c r="A7">
        <v>2</v>
      </c>
      <c r="B7" s="21" t="s">
        <v>266</v>
      </c>
      <c r="C7" s="22">
        <f>C6</f>
        <v>798851.41</v>
      </c>
      <c r="D7" s="21" t="s">
        <v>20</v>
      </c>
      <c r="E7" s="21" t="s">
        <v>56</v>
      </c>
      <c r="F7" s="21">
        <v>0</v>
      </c>
      <c r="G7" s="21" t="s">
        <v>57</v>
      </c>
      <c r="H7" s="21" t="s">
        <v>287</v>
      </c>
      <c r="I7" s="23" t="s">
        <v>286</v>
      </c>
      <c r="J7" s="24">
        <f>IF(ISERROR(C7*F7/1000),"kein Wert",C7*F7/1000)</f>
        <v>0</v>
      </c>
    </row>
    <row r="8" spans="1:10">
      <c r="A8">
        <v>3</v>
      </c>
      <c r="B8" s="25" t="s">
        <v>65</v>
      </c>
      <c r="C8" s="26">
        <f>C3</f>
        <v>4271773</v>
      </c>
      <c r="D8" s="25" t="s">
        <v>263</v>
      </c>
      <c r="E8" s="25" t="s">
        <v>56</v>
      </c>
      <c r="F8" s="72">
        <f>25.44*0.9024</f>
        <v>22.957056000000001</v>
      </c>
      <c r="G8" s="25" t="s">
        <v>57</v>
      </c>
      <c r="H8" s="25" t="s">
        <v>290</v>
      </c>
      <c r="I8" s="27" t="s">
        <v>288</v>
      </c>
      <c r="J8" s="48">
        <f>C8*F8/1000</f>
        <v>98067.331980288</v>
      </c>
    </row>
    <row r="9" spans="1:10">
      <c r="A9" t="s">
        <v>66</v>
      </c>
      <c r="B9" s="25" t="s">
        <v>67</v>
      </c>
      <c r="C9" s="26">
        <f>C6</f>
        <v>798851.41</v>
      </c>
      <c r="D9" s="25" t="s">
        <v>20</v>
      </c>
      <c r="E9" s="25" t="s">
        <v>56</v>
      </c>
      <c r="F9" s="25">
        <v>64</v>
      </c>
      <c r="G9" s="25" t="s">
        <v>57</v>
      </c>
      <c r="H9" s="25" t="s">
        <v>289</v>
      </c>
      <c r="I9" s="27" t="s">
        <v>277</v>
      </c>
      <c r="J9" s="28">
        <f>IF(ISERROR(C9*F9/1000),"kein Wert",C9*F9/1000)</f>
        <v>51126.490239999999</v>
      </c>
    </row>
    <row r="10" spans="1:10">
      <c r="B10" s="25" t="s">
        <v>68</v>
      </c>
      <c r="C10" s="26">
        <f>C4</f>
        <v>3104.9540799507367</v>
      </c>
      <c r="D10" s="25" t="s">
        <v>107</v>
      </c>
      <c r="E10" s="25" t="s">
        <v>56</v>
      </c>
      <c r="F10" s="25">
        <v>713.43</v>
      </c>
      <c r="G10" s="25" t="s">
        <v>60</v>
      </c>
      <c r="H10" s="25" t="s">
        <v>281</v>
      </c>
      <c r="I10" s="27" t="s">
        <v>61</v>
      </c>
      <c r="J10" s="48">
        <f>IF(ISERROR(C10*F10/1000),"kein Wert",C10*F10/1000)</f>
        <v>2215.1673892592539</v>
      </c>
    </row>
    <row r="11" spans="1:10">
      <c r="B11" s="25" t="s">
        <v>69</v>
      </c>
      <c r="C11" s="26">
        <f>C5</f>
        <v>3047.629805203469</v>
      </c>
      <c r="D11" s="25" t="s">
        <v>107</v>
      </c>
      <c r="E11" s="25" t="s">
        <v>56</v>
      </c>
      <c r="F11" s="25">
        <v>584</v>
      </c>
      <c r="G11" s="25" t="s">
        <v>60</v>
      </c>
      <c r="H11" s="25" t="s">
        <v>282</v>
      </c>
      <c r="I11" s="27" t="s">
        <v>63</v>
      </c>
      <c r="J11" s="48">
        <f>IF(ISERROR(C11*F11/1000),"kein Wert",C11*F11/1000)</f>
        <v>1779.8158062388259</v>
      </c>
    </row>
    <row r="12" spans="1:10">
      <c r="B12" s="29" t="s">
        <v>70</v>
      </c>
      <c r="C12" s="30">
        <f>'Jahreswerte - Emden'!P7+'Jahreswerte - Leer'!F8+'Jahreswerte - Leer'!G8+'Jahreswerte - Leer'!N8</f>
        <v>5108</v>
      </c>
      <c r="D12" s="29" t="s">
        <v>71</v>
      </c>
      <c r="E12" s="29" t="s">
        <v>56</v>
      </c>
      <c r="F12" s="29">
        <v>242</v>
      </c>
      <c r="G12" s="29" t="s">
        <v>72</v>
      </c>
      <c r="H12" s="29" t="s">
        <v>291</v>
      </c>
      <c r="I12" s="31" t="s">
        <v>73</v>
      </c>
      <c r="J12" s="49">
        <f>C12*F12/1000</f>
        <v>1236.136</v>
      </c>
    </row>
    <row r="13" spans="1:10">
      <c r="B13" s="29" t="s">
        <v>318</v>
      </c>
      <c r="C13" s="30" t="s">
        <v>59</v>
      </c>
      <c r="D13" s="29" t="s">
        <v>21</v>
      </c>
      <c r="E13" s="29" t="s">
        <v>56</v>
      </c>
      <c r="F13" s="29">
        <v>822</v>
      </c>
      <c r="G13" s="29" t="s">
        <v>86</v>
      </c>
      <c r="H13" s="29" t="s">
        <v>292</v>
      </c>
      <c r="I13" s="31" t="s">
        <v>293</v>
      </c>
      <c r="J13" s="49" t="e">
        <f>C13*F13/1000</f>
        <v>#VALUE!</v>
      </c>
    </row>
    <row r="14" spans="1:10">
      <c r="B14" s="29" t="s">
        <v>319</v>
      </c>
      <c r="C14" s="30" t="s">
        <v>59</v>
      </c>
      <c r="D14" s="29" t="s">
        <v>21</v>
      </c>
      <c r="E14" s="29" t="s">
        <v>56</v>
      </c>
      <c r="F14" s="29">
        <v>822</v>
      </c>
      <c r="G14" s="29" t="s">
        <v>86</v>
      </c>
      <c r="H14" s="29" t="s">
        <v>292</v>
      </c>
      <c r="I14" s="31" t="s">
        <v>293</v>
      </c>
      <c r="J14" s="49" t="e">
        <f>C14*F14/1000</f>
        <v>#VALUE!</v>
      </c>
    </row>
    <row r="15" spans="1:10">
      <c r="B15" s="29" t="s">
        <v>74</v>
      </c>
      <c r="C15" s="30" t="s">
        <v>59</v>
      </c>
      <c r="D15" s="29" t="s">
        <v>75</v>
      </c>
      <c r="E15" s="29" t="s">
        <v>76</v>
      </c>
      <c r="F15" s="29">
        <v>4.84</v>
      </c>
      <c r="G15" s="29" t="s">
        <v>112</v>
      </c>
      <c r="H15" s="29" t="s">
        <v>292</v>
      </c>
      <c r="I15" s="31" t="s">
        <v>293</v>
      </c>
      <c r="J15" s="32" t="str">
        <f>IF(ISERROR(C15*F15/1000),"kein Wert",C15*F15/1000)</f>
        <v>kein Wert</v>
      </c>
    </row>
    <row r="16" spans="1:10">
      <c r="B16" s="29" t="s">
        <v>268</v>
      </c>
      <c r="C16" s="30" t="s">
        <v>59</v>
      </c>
      <c r="D16" s="29" t="s">
        <v>269</v>
      </c>
      <c r="E16" s="29" t="s">
        <v>56</v>
      </c>
      <c r="F16" s="73">
        <f>Gesamtemissionen!B78/Gesamtemissionen!B79</f>
        <v>115.87988240235195</v>
      </c>
      <c r="G16" s="29" t="s">
        <v>273</v>
      </c>
      <c r="H16" s="29" t="s">
        <v>306</v>
      </c>
      <c r="I16" s="31" t="s">
        <v>307</v>
      </c>
      <c r="J16" s="32" t="str">
        <f>IF(ISERROR(C16*F16/1000),"kein Wert",C16*F16/1000)</f>
        <v>kein Wert</v>
      </c>
    </row>
    <row r="17" spans="2:10">
      <c r="B17" s="29" t="s">
        <v>78</v>
      </c>
      <c r="C17" s="30" t="s">
        <v>59</v>
      </c>
      <c r="D17" s="29"/>
      <c r="E17" s="29"/>
      <c r="F17" s="73">
        <f>Gesamtemissionen!D73/Gesamtemissionen!D74</f>
        <v>163.89986824769431</v>
      </c>
      <c r="G17" s="29" t="s">
        <v>273</v>
      </c>
      <c r="H17" s="29" t="s">
        <v>308</v>
      </c>
      <c r="I17" s="31" t="s">
        <v>309</v>
      </c>
      <c r="J17" s="32" t="str">
        <f>IF(ISERROR(C17*F17/1000),"kein Wert",C17*F17/1000)</f>
        <v>kein Wert</v>
      </c>
    </row>
    <row r="18" spans="2:10">
      <c r="B18" s="29" t="s">
        <v>79</v>
      </c>
      <c r="C18" s="30">
        <v>0</v>
      </c>
      <c r="D18" s="29" t="s">
        <v>109</v>
      </c>
      <c r="E18" s="29" t="s">
        <v>80</v>
      </c>
      <c r="F18" s="29" t="s">
        <v>110</v>
      </c>
      <c r="G18" s="29" t="s">
        <v>21</v>
      </c>
      <c r="H18" s="29" t="s">
        <v>304</v>
      </c>
      <c r="I18" s="31" t="s">
        <v>303</v>
      </c>
      <c r="J18" s="49">
        <f>0</f>
        <v>0</v>
      </c>
    </row>
    <row r="19" spans="2:10">
      <c r="B19" s="33" t="s">
        <v>81</v>
      </c>
      <c r="C19" s="34">
        <f>C12</f>
        <v>5108</v>
      </c>
      <c r="D19" s="33" t="s">
        <v>71</v>
      </c>
      <c r="E19" s="33" t="s">
        <v>56</v>
      </c>
      <c r="F19" s="33">
        <f>273</f>
        <v>273</v>
      </c>
      <c r="G19" s="33" t="s">
        <v>82</v>
      </c>
      <c r="H19" s="33" t="s">
        <v>294</v>
      </c>
      <c r="I19" s="35" t="s">
        <v>83</v>
      </c>
      <c r="J19" s="50">
        <f>C19*F19/1000</f>
        <v>1394.4839999999999</v>
      </c>
    </row>
    <row r="20" spans="2:10">
      <c r="B20" s="33" t="s">
        <v>84</v>
      </c>
      <c r="C20" s="34">
        <f>'Jahreswerte - Emden'!Q7+'Jahreswerte - Leer'!K$8+'Jahreswerte - Leer'!Q8+65</f>
        <v>65</v>
      </c>
      <c r="D20" s="33" t="s">
        <v>21</v>
      </c>
      <c r="E20" s="33" t="s">
        <v>85</v>
      </c>
      <c r="F20" s="37" t="e">
        <f>Gesamtemissionen!F68/Gesamtemissionen!F69*1000</f>
        <v>#DIV/0!</v>
      </c>
      <c r="G20" s="33" t="s">
        <v>86</v>
      </c>
      <c r="H20" s="33" t="s">
        <v>330</v>
      </c>
      <c r="I20" s="35" t="s">
        <v>295</v>
      </c>
      <c r="J20" s="36" t="str">
        <f>IF(ISERROR(C20*F20/1000),"kein Wert",C20*F20/1000)</f>
        <v>kein Wert</v>
      </c>
    </row>
    <row r="21" spans="2:10">
      <c r="B21" s="33" t="s">
        <v>325</v>
      </c>
      <c r="C21" s="34">
        <v>0</v>
      </c>
      <c r="D21" s="33" t="s">
        <v>21</v>
      </c>
      <c r="E21" s="33"/>
      <c r="F21" s="37">
        <v>-1015</v>
      </c>
      <c r="G21" s="33" t="s">
        <v>86</v>
      </c>
      <c r="H21" s="33" t="s">
        <v>326</v>
      </c>
      <c r="I21" s="35" t="s">
        <v>298</v>
      </c>
      <c r="J21" s="36">
        <f>IF(ISERROR(C21*F21/1000),"kein Wert",C21*F21/1000)</f>
        <v>0</v>
      </c>
    </row>
    <row r="22" spans="2:10">
      <c r="B22" s="33" t="s">
        <v>88</v>
      </c>
      <c r="C22" s="34" t="s">
        <v>59</v>
      </c>
      <c r="D22" s="33" t="s">
        <v>21</v>
      </c>
      <c r="E22" s="33" t="s">
        <v>89</v>
      </c>
      <c r="F22" s="33">
        <v>-793</v>
      </c>
      <c r="G22" s="33" t="s">
        <v>86</v>
      </c>
      <c r="H22" s="33" t="s">
        <v>297</v>
      </c>
      <c r="I22" s="35" t="s">
        <v>298</v>
      </c>
      <c r="J22" s="50" t="e">
        <f>C22*F22/1000</f>
        <v>#VALUE!</v>
      </c>
    </row>
    <row r="23" spans="2:10">
      <c r="B23" s="33" t="s">
        <v>265</v>
      </c>
      <c r="C23" s="34" t="s">
        <v>59</v>
      </c>
      <c r="D23" s="33" t="s">
        <v>21</v>
      </c>
      <c r="E23" s="33" t="s">
        <v>91</v>
      </c>
      <c r="F23" s="33">
        <v>1900</v>
      </c>
      <c r="G23" s="33" t="s">
        <v>86</v>
      </c>
      <c r="H23" s="33" t="s">
        <v>299</v>
      </c>
      <c r="I23" s="35" t="s">
        <v>300</v>
      </c>
      <c r="J23" s="50" t="e">
        <f>C23*F23/1000</f>
        <v>#VALUE!</v>
      </c>
    </row>
    <row r="24" spans="2:10">
      <c r="B24" s="33" t="s">
        <v>92</v>
      </c>
      <c r="C24" s="34" t="s">
        <v>59</v>
      </c>
      <c r="D24" s="33" t="s">
        <v>21</v>
      </c>
      <c r="E24" s="33" t="s">
        <v>91</v>
      </c>
      <c r="F24" s="33">
        <v>-945</v>
      </c>
      <c r="G24" s="33" t="s">
        <v>86</v>
      </c>
      <c r="H24" s="33" t="s">
        <v>301</v>
      </c>
      <c r="I24" s="35" t="s">
        <v>298</v>
      </c>
      <c r="J24" s="50" t="e">
        <f>C24*F24/1000</f>
        <v>#VALUE!</v>
      </c>
    </row>
    <row r="25" spans="2:10">
      <c r="B25" s="38" t="s">
        <v>93</v>
      </c>
      <c r="C25" s="39" t="s">
        <v>59</v>
      </c>
      <c r="D25" s="38" t="s">
        <v>99</v>
      </c>
      <c r="E25" s="38"/>
      <c r="F25" s="38">
        <v>166</v>
      </c>
      <c r="G25" s="38" t="s">
        <v>94</v>
      </c>
      <c r="H25" s="38" t="s">
        <v>302</v>
      </c>
      <c r="I25" s="40" t="s">
        <v>95</v>
      </c>
      <c r="J25" s="41" t="str">
        <f>IF(ISERROR(C25*F25/1000),"kein Wert",C25*F25/1000)</f>
        <v>kein Wert</v>
      </c>
    </row>
    <row r="26" spans="2:10">
      <c r="B26" s="38" t="s">
        <v>96</v>
      </c>
      <c r="C26" s="46" t="s">
        <v>59</v>
      </c>
      <c r="D26" s="38" t="s">
        <v>99</v>
      </c>
      <c r="E26" s="38"/>
      <c r="F26" s="38">
        <v>31</v>
      </c>
      <c r="G26" s="38" t="s">
        <v>94</v>
      </c>
      <c r="H26" s="38" t="s">
        <v>302</v>
      </c>
      <c r="I26" s="40" t="s">
        <v>95</v>
      </c>
      <c r="J26" s="41" t="str">
        <f>IF(ISERROR(C26*F26/1000),"kein Wert",C26*F26/1000)</f>
        <v>kein Wert</v>
      </c>
    </row>
    <row r="27" spans="2:10">
      <c r="B27" s="38" t="s">
        <v>97</v>
      </c>
      <c r="C27" s="46" t="s">
        <v>59</v>
      </c>
      <c r="D27" s="38" t="s">
        <v>99</v>
      </c>
      <c r="E27" s="38"/>
      <c r="F27" s="42">
        <v>238</v>
      </c>
      <c r="G27" s="38" t="s">
        <v>94</v>
      </c>
      <c r="H27" s="38" t="s">
        <v>302</v>
      </c>
      <c r="I27" s="40" t="s">
        <v>95</v>
      </c>
      <c r="J27" s="41" t="str">
        <f>IF(ISERROR(C27*F27/1000),"kein Wert",C27*F27/1000)</f>
        <v>kein Wert</v>
      </c>
    </row>
    <row r="28" spans="2:10">
      <c r="B28" s="38" t="s">
        <v>98</v>
      </c>
      <c r="C28" s="39" t="s">
        <v>59</v>
      </c>
      <c r="D28" s="38" t="s">
        <v>99</v>
      </c>
      <c r="E28" s="40" t="s">
        <v>100</v>
      </c>
      <c r="F28" s="38">
        <v>31</v>
      </c>
      <c r="G28" s="38" t="s">
        <v>94</v>
      </c>
      <c r="H28" s="38" t="s">
        <v>302</v>
      </c>
      <c r="I28" s="40" t="s">
        <v>95</v>
      </c>
      <c r="J28" s="41" t="str">
        <f>IF(ISERROR(C28*F28/1000),"kein Wert",C28*F28/1000)</f>
        <v>kein Wert</v>
      </c>
    </row>
    <row r="29" spans="2:10">
      <c r="B29" s="38" t="s">
        <v>101</v>
      </c>
      <c r="C29" s="39" t="s">
        <v>59</v>
      </c>
      <c r="D29" s="38" t="s">
        <v>99</v>
      </c>
      <c r="E29" s="38" t="s">
        <v>242</v>
      </c>
      <c r="F29" s="42">
        <v>238</v>
      </c>
      <c r="G29" s="38" t="s">
        <v>94</v>
      </c>
      <c r="H29" s="38" t="s">
        <v>302</v>
      </c>
      <c r="I29" s="40" t="s">
        <v>95</v>
      </c>
      <c r="J29" s="41" t="str">
        <f>IF(ISERROR(C29*F29/1000),"kein Wert",C29*F29/1000)</f>
        <v>kein Wert</v>
      </c>
    </row>
    <row r="30" spans="2:10">
      <c r="B30" s="38" t="s">
        <v>103</v>
      </c>
      <c r="C30" s="39" t="s">
        <v>59</v>
      </c>
      <c r="D30" s="38" t="s">
        <v>99</v>
      </c>
      <c r="E30" s="38" t="s">
        <v>104</v>
      </c>
      <c r="F30" s="38">
        <v>166</v>
      </c>
      <c r="G30" s="38" t="s">
        <v>94</v>
      </c>
      <c r="H30" s="38" t="s">
        <v>302</v>
      </c>
      <c r="I30" s="40" t="s">
        <v>95</v>
      </c>
      <c r="J30" s="41" t="str">
        <f>IF(ISERROR(C30*F30/1000),"kein Wert",C30*F30/1000)</f>
        <v>kein Wert</v>
      </c>
    </row>
    <row r="31" spans="2:10">
      <c r="B31" s="38" t="s">
        <v>105</v>
      </c>
      <c r="C31" s="39" t="s">
        <v>59</v>
      </c>
      <c r="D31" s="38" t="s">
        <v>99</v>
      </c>
      <c r="E31" s="43" t="s">
        <v>106</v>
      </c>
      <c r="F31" s="38">
        <v>58</v>
      </c>
      <c r="G31" s="38" t="s">
        <v>94</v>
      </c>
      <c r="H31" s="38" t="s">
        <v>302</v>
      </c>
      <c r="I31" s="40" t="s">
        <v>95</v>
      </c>
      <c r="J31" s="41" t="str">
        <f>IF(ISERROR(C31*F31/1000),"kein Wert",C31*F31/1000)</f>
        <v>kein Wert</v>
      </c>
    </row>
  </sheetData>
  <hyperlinks>
    <hyperlink ref="E31" r:id="rId1" xr:uid="{4A28EF05-C85C-467B-8D63-78C3A5945B94}"/>
    <hyperlink ref="E28" r:id="rId2" xr:uid="{AD74005F-E523-431F-9261-FA86C9B6E4A5}"/>
    <hyperlink ref="I4" r:id="rId3" xr:uid="{773515F7-7CC5-45D0-BDF3-E1783BF01FBB}"/>
    <hyperlink ref="I5" r:id="rId4" xr:uid="{B18B7030-DF88-4E30-B7BF-A72D59744624}"/>
    <hyperlink ref="I7" r:id="rId5" xr:uid="{1BE61D28-F40E-43B6-9D40-C309251524EF}"/>
    <hyperlink ref="H7" r:id="rId6" display="https://www.energiedeutschland.de/uber-uns/stromkennzeichnung/ ;Ökostrombezug" xr:uid="{99D5F0A2-24E1-4B55-8027-79D940A35C64}"/>
    <hyperlink ref="I20" r:id="rId7" xr:uid="{F8B95F96-1A64-46A6-BAA5-64133BFD073C}"/>
    <hyperlink ref="I19" r:id="rId8" xr:uid="{51AA7AA1-E392-4BCE-80C2-8CECD5BF39EB}"/>
    <hyperlink ref="I23" r:id="rId9" xr:uid="{CDE7F24C-E00B-40B1-8E52-7F8C5C6E8809}"/>
    <hyperlink ref="I18" r:id="rId10" xr:uid="{5C06A4B0-97AD-4628-928A-C640FDBE8B24}"/>
    <hyperlink ref="I10" r:id="rId11" xr:uid="{EDCDC207-7049-47EB-8234-7D023429EE7E}"/>
    <hyperlink ref="I11" r:id="rId12" xr:uid="{A5CFB6A1-44EF-44FF-BAD8-C642A0D5F9B0}"/>
    <hyperlink ref="I9" r:id="rId13" display="https://www.umweltbundesamt.de/publikationen/entwicklung-der-spezifischen-treibhausgas-9 " xr:uid="{8BDA8C07-81FA-465C-A14D-0E6C8541528E}"/>
    <hyperlink ref="I8" r:id="rId14" xr:uid="{CA50CB6D-039D-4DAB-85D5-F939C3BE94CE}"/>
    <hyperlink ref="I12" r:id="rId15" location="/details/218bbfcd-d3aa-4449-ae1e-25887291a21a" xr:uid="{19F26BB4-B1F2-4475-A7E5-94BCDDCE99C0}"/>
    <hyperlink ref="I15" r:id="rId16" xr:uid="{48B21E7E-476D-4F74-9110-24893A2800B2}"/>
    <hyperlink ref="I13" r:id="rId17" xr:uid="{F894D3A6-1D91-4A72-AF8E-44DB8619617E}"/>
    <hyperlink ref="I14" r:id="rId18" xr:uid="{E4CB9D55-688C-489B-8DA9-97E69C96F83F}"/>
    <hyperlink ref="I22" r:id="rId19" xr:uid="{859E61AF-DA91-4A7E-A926-81D237926439}"/>
    <hyperlink ref="I21" r:id="rId20" xr:uid="{066EE132-519F-44DD-99E2-AAF59CFAC22A}"/>
    <hyperlink ref="I3" r:id="rId21" xr:uid="{5410BB78-7635-4071-8DE3-633585920D05}"/>
    <hyperlink ref="H6" r:id="rId22" xr:uid="{34BF0299-5373-4555-91D2-C96BA6991D74}"/>
  </hyperlink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21A63-1F58-4B04-AADD-20BFE3FC24FB}">
  <dimension ref="A1:J31"/>
  <sheetViews>
    <sheetView workbookViewId="0">
      <selection activeCell="F20" sqref="F20"/>
    </sheetView>
  </sheetViews>
  <sheetFormatPr baseColWidth="10" defaultRowHeight="15"/>
  <sheetData>
    <row r="1" spans="1:10">
      <c r="B1">
        <v>2023</v>
      </c>
      <c r="C1" s="51"/>
    </row>
    <row r="2" spans="1:10">
      <c r="A2" t="s">
        <v>49</v>
      </c>
      <c r="C2" s="52" t="s">
        <v>51</v>
      </c>
      <c r="D2" t="s">
        <v>19</v>
      </c>
      <c r="E2" t="s">
        <v>52</v>
      </c>
      <c r="F2" t="s">
        <v>53</v>
      </c>
      <c r="G2" t="s">
        <v>19</v>
      </c>
      <c r="H2" t="s">
        <v>52</v>
      </c>
      <c r="J2" t="s">
        <v>54</v>
      </c>
    </row>
    <row r="3" spans="1:10">
      <c r="A3">
        <v>1</v>
      </c>
      <c r="B3" s="21" t="s">
        <v>55</v>
      </c>
      <c r="C3" s="22">
        <f>'Jahreswerte - Emden'!N6+'Jahreswerte - Leer'!D7+'Jahreswerte - Leer'!E7</f>
        <v>5263723</v>
      </c>
      <c r="D3" s="21" t="s">
        <v>263</v>
      </c>
      <c r="E3" s="21" t="s">
        <v>56</v>
      </c>
      <c r="F3" s="71">
        <f>3.2508*0.0558*1000</f>
        <v>181.39464000000001</v>
      </c>
      <c r="G3" s="21" t="s">
        <v>57</v>
      </c>
      <c r="H3" s="21" t="s">
        <v>264</v>
      </c>
      <c r="I3" s="23" t="s">
        <v>279</v>
      </c>
      <c r="J3" s="47">
        <f>C3*F3/1000</f>
        <v>954811.13864472008</v>
      </c>
    </row>
    <row r="4" spans="1:10">
      <c r="B4" s="21" t="s">
        <v>58</v>
      </c>
      <c r="C4" s="22">
        <f>Mobilität!B36</f>
        <v>4446.74</v>
      </c>
      <c r="D4" s="21" t="s">
        <v>107</v>
      </c>
      <c r="E4" s="21" t="s">
        <v>56</v>
      </c>
      <c r="F4" s="21">
        <v>2696.47</v>
      </c>
      <c r="G4" s="21" t="s">
        <v>60</v>
      </c>
      <c r="H4" s="21" t="s">
        <v>281</v>
      </c>
      <c r="I4" s="23" t="s">
        <v>283</v>
      </c>
      <c r="J4" s="47">
        <f>C4*F4/1000</f>
        <v>11990.501007799998</v>
      </c>
    </row>
    <row r="5" spans="1:10">
      <c r="B5" s="21" t="s">
        <v>62</v>
      </c>
      <c r="C5" s="22">
        <f>Mobilität!B52</f>
        <v>3117.0499999999997</v>
      </c>
      <c r="D5" s="21" t="s">
        <v>107</v>
      </c>
      <c r="E5" s="21" t="s">
        <v>56</v>
      </c>
      <c r="F5" s="21">
        <v>2445.59</v>
      </c>
      <c r="G5" s="21" t="s">
        <v>60</v>
      </c>
      <c r="H5" s="21" t="s">
        <v>305</v>
      </c>
      <c r="I5" s="23" t="s">
        <v>283</v>
      </c>
      <c r="J5" s="47">
        <f>C5*F5/1000</f>
        <v>7623.0263094999991</v>
      </c>
    </row>
    <row r="6" spans="1:10">
      <c r="A6">
        <v>2</v>
      </c>
      <c r="B6" s="21" t="s">
        <v>267</v>
      </c>
      <c r="C6" s="22">
        <f>'Jahreswerte - Emden'!F6+'Jahreswerte - Leer'!B7+'Jahreswerte - Leer'!C7+'Jahreswerte - Leer'!M7</f>
        <v>868913.44</v>
      </c>
      <c r="D6" s="21" t="s">
        <v>20</v>
      </c>
      <c r="E6" s="21" t="s">
        <v>56</v>
      </c>
      <c r="F6" s="21">
        <v>381</v>
      </c>
      <c r="G6" s="21" t="s">
        <v>57</v>
      </c>
      <c r="H6" s="21" t="s">
        <v>111</v>
      </c>
      <c r="I6" s="23" t="s">
        <v>111</v>
      </c>
      <c r="J6" s="47">
        <f>C6*F6/1000</f>
        <v>331056.02064</v>
      </c>
    </row>
    <row r="7" spans="1:10">
      <c r="A7">
        <v>2</v>
      </c>
      <c r="B7" s="21" t="s">
        <v>266</v>
      </c>
      <c r="C7" s="22">
        <f>C6</f>
        <v>868913.44</v>
      </c>
      <c r="D7" s="21" t="s">
        <v>20</v>
      </c>
      <c r="E7" s="21" t="s">
        <v>56</v>
      </c>
      <c r="F7" s="21">
        <v>0</v>
      </c>
      <c r="G7" s="21" t="s">
        <v>57</v>
      </c>
      <c r="H7" s="21" t="s">
        <v>287</v>
      </c>
      <c r="I7" s="23" t="s">
        <v>286</v>
      </c>
      <c r="J7" s="24">
        <f>IF(ISERROR(C7*F7/1000),"kein Wert",C7*F7/1000)</f>
        <v>0</v>
      </c>
    </row>
    <row r="8" spans="1:10">
      <c r="A8">
        <v>3</v>
      </c>
      <c r="B8" s="25" t="s">
        <v>65</v>
      </c>
      <c r="C8" s="26">
        <f>C3</f>
        <v>5263723</v>
      </c>
      <c r="D8" s="25" t="s">
        <v>263</v>
      </c>
      <c r="E8" s="25" t="s">
        <v>56</v>
      </c>
      <c r="F8" s="72">
        <f>25.44*0.9024</f>
        <v>22.957056000000001</v>
      </c>
      <c r="G8" s="25" t="s">
        <v>57</v>
      </c>
      <c r="H8" s="25" t="s">
        <v>290</v>
      </c>
      <c r="I8" s="27" t="s">
        <v>288</v>
      </c>
      <c r="J8" s="48">
        <f>C8*F8/1000</f>
        <v>120839.583679488</v>
      </c>
    </row>
    <row r="9" spans="1:10">
      <c r="A9" t="s">
        <v>66</v>
      </c>
      <c r="B9" s="25" t="s">
        <v>67</v>
      </c>
      <c r="C9" s="26">
        <f>C6</f>
        <v>868913.44</v>
      </c>
      <c r="D9" s="25" t="s">
        <v>20</v>
      </c>
      <c r="E9" s="25" t="s">
        <v>56</v>
      </c>
      <c r="F9" s="25">
        <v>64</v>
      </c>
      <c r="G9" s="25" t="s">
        <v>57</v>
      </c>
      <c r="H9" s="25" t="s">
        <v>289</v>
      </c>
      <c r="I9" s="27" t="s">
        <v>277</v>
      </c>
      <c r="J9" s="28">
        <f>IF(ISERROR(C9*F9/1000),"kein Wert",C9*F9/1000)</f>
        <v>55610.460159999995</v>
      </c>
    </row>
    <row r="10" spans="1:10">
      <c r="B10" s="25" t="s">
        <v>68</v>
      </c>
      <c r="C10" s="26">
        <f>C4</f>
        <v>4446.74</v>
      </c>
      <c r="D10" s="25" t="s">
        <v>107</v>
      </c>
      <c r="E10" s="25" t="s">
        <v>56</v>
      </c>
      <c r="F10" s="25">
        <v>713.43</v>
      </c>
      <c r="G10" s="25" t="s">
        <v>60</v>
      </c>
      <c r="H10" s="25" t="s">
        <v>281</v>
      </c>
      <c r="I10" s="27" t="s">
        <v>61</v>
      </c>
      <c r="J10" s="48">
        <f>IF(ISERROR(C10*F10/1000),"kein Wert",C10*F10/1000)</f>
        <v>3172.4377181999994</v>
      </c>
    </row>
    <row r="11" spans="1:10">
      <c r="B11" s="25" t="s">
        <v>69</v>
      </c>
      <c r="C11" s="26">
        <f>C5</f>
        <v>3117.0499999999997</v>
      </c>
      <c r="D11" s="25" t="s">
        <v>107</v>
      </c>
      <c r="E11" s="25" t="s">
        <v>56</v>
      </c>
      <c r="F11" s="25">
        <v>584</v>
      </c>
      <c r="G11" s="25" t="s">
        <v>60</v>
      </c>
      <c r="H11" s="25" t="s">
        <v>282</v>
      </c>
      <c r="I11" s="27" t="s">
        <v>63</v>
      </c>
      <c r="J11" s="48">
        <f>IF(ISERROR(C11*F11/1000),"kein Wert",C11*F11/1000)</f>
        <v>1820.3571999999999</v>
      </c>
    </row>
    <row r="12" spans="1:10">
      <c r="B12" s="29" t="s">
        <v>70</v>
      </c>
      <c r="C12" s="30">
        <f>'Jahreswerte - Emden'!P6+'Jahreswerte - Leer'!F7+'Jahreswerte - Leer'!G7+'Jahreswerte - Leer'!N7</f>
        <v>4500</v>
      </c>
      <c r="D12" s="29" t="s">
        <v>71</v>
      </c>
      <c r="E12" s="29" t="s">
        <v>56</v>
      </c>
      <c r="F12" s="29">
        <v>242</v>
      </c>
      <c r="G12" s="29" t="s">
        <v>72</v>
      </c>
      <c r="H12" s="29" t="s">
        <v>291</v>
      </c>
      <c r="I12" s="31" t="s">
        <v>73</v>
      </c>
      <c r="J12" s="49">
        <f>C12*F12/1000</f>
        <v>1089</v>
      </c>
    </row>
    <row r="13" spans="1:10">
      <c r="B13" s="29" t="s">
        <v>318</v>
      </c>
      <c r="C13" s="30">
        <v>5372</v>
      </c>
      <c r="D13" s="29" t="s">
        <v>21</v>
      </c>
      <c r="E13" s="29" t="s">
        <v>56</v>
      </c>
      <c r="F13" s="29">
        <v>822</v>
      </c>
      <c r="G13" s="29" t="s">
        <v>86</v>
      </c>
      <c r="H13" s="29" t="s">
        <v>292</v>
      </c>
      <c r="I13" s="31" t="s">
        <v>293</v>
      </c>
      <c r="J13" s="49">
        <f>C13*F13/1000</f>
        <v>4415.7839999999997</v>
      </c>
    </row>
    <row r="14" spans="1:10">
      <c r="B14" s="29" t="s">
        <v>319</v>
      </c>
      <c r="C14" s="30">
        <v>8390</v>
      </c>
      <c r="D14" s="29" t="s">
        <v>21</v>
      </c>
      <c r="E14" s="29" t="s">
        <v>56</v>
      </c>
      <c r="F14" s="29">
        <v>822</v>
      </c>
      <c r="G14" s="29" t="s">
        <v>86</v>
      </c>
      <c r="H14" s="29" t="s">
        <v>292</v>
      </c>
      <c r="I14" s="31" t="s">
        <v>293</v>
      </c>
      <c r="J14" s="49">
        <f>C14*F14/1000</f>
        <v>6896.58</v>
      </c>
    </row>
    <row r="15" spans="1:10">
      <c r="B15" s="29" t="s">
        <v>74</v>
      </c>
      <c r="C15" s="30" t="s">
        <v>59</v>
      </c>
      <c r="D15" s="29" t="s">
        <v>75</v>
      </c>
      <c r="E15" s="29" t="s">
        <v>76</v>
      </c>
      <c r="F15" s="29">
        <v>4.84</v>
      </c>
      <c r="G15" s="29" t="s">
        <v>112</v>
      </c>
      <c r="H15" s="29" t="s">
        <v>292</v>
      </c>
      <c r="I15" s="31" t="s">
        <v>293</v>
      </c>
      <c r="J15" s="32" t="str">
        <f>IF(ISERROR(C15*F15/1000),"kein Wert",C15*F15/1000)</f>
        <v>kein Wert</v>
      </c>
    </row>
    <row r="16" spans="1:10">
      <c r="B16" s="29" t="s">
        <v>268</v>
      </c>
      <c r="C16" s="30">
        <f>17922.83+28806.97+101642.66+29612.9+20170.5+5225+28618.45+29615.11+29770.46+6400+8177.3+29694.65+29720.67</f>
        <v>365377.50000000006</v>
      </c>
      <c r="D16" s="29" t="s">
        <v>269</v>
      </c>
      <c r="E16" s="29" t="s">
        <v>56</v>
      </c>
      <c r="F16" s="73">
        <f>Gesamtemissionen!B78/Gesamtemissionen!B79</f>
        <v>115.87988240235195</v>
      </c>
      <c r="G16" s="29" t="s">
        <v>273</v>
      </c>
      <c r="H16" s="29" t="s">
        <v>306</v>
      </c>
      <c r="I16" s="31" t="s">
        <v>307</v>
      </c>
      <c r="J16" s="32">
        <f>IF(ISERROR(C16*F16/1000),"kein Wert",C16*F16/1000)</f>
        <v>42339.901732465354</v>
      </c>
    </row>
    <row r="17" spans="2:10">
      <c r="B17" s="29" t="s">
        <v>78</v>
      </c>
      <c r="C17" s="30" t="s">
        <v>59</v>
      </c>
      <c r="D17" s="29"/>
      <c r="E17" s="29"/>
      <c r="F17" s="73">
        <f>Gesamtemissionen!D73/Gesamtemissionen!D74</f>
        <v>163.89986824769431</v>
      </c>
      <c r="G17" s="29" t="s">
        <v>273</v>
      </c>
      <c r="H17" s="29" t="s">
        <v>308</v>
      </c>
      <c r="I17" s="31" t="s">
        <v>309</v>
      </c>
      <c r="J17" s="32" t="str">
        <f>IF(ISERROR(C17*F17/1000),"kein Wert",C17*F17/1000)</f>
        <v>kein Wert</v>
      </c>
    </row>
    <row r="18" spans="2:10">
      <c r="B18" s="29" t="s">
        <v>79</v>
      </c>
      <c r="C18" s="30">
        <v>1</v>
      </c>
      <c r="D18" s="29" t="s">
        <v>109</v>
      </c>
      <c r="E18" s="29" t="s">
        <v>80</v>
      </c>
      <c r="F18" s="29" t="s">
        <v>110</v>
      </c>
      <c r="G18" s="29" t="s">
        <v>21</v>
      </c>
      <c r="H18" s="29" t="s">
        <v>304</v>
      </c>
      <c r="I18" s="31" t="s">
        <v>303</v>
      </c>
      <c r="J18" s="49">
        <f>7800+84*82</f>
        <v>14688</v>
      </c>
    </row>
    <row r="19" spans="2:10">
      <c r="B19" s="33" t="s">
        <v>81</v>
      </c>
      <c r="C19" s="34">
        <f>C12</f>
        <v>4500</v>
      </c>
      <c r="D19" s="33" t="s">
        <v>71</v>
      </c>
      <c r="E19" s="33" t="s">
        <v>56</v>
      </c>
      <c r="F19" s="33">
        <f>273</f>
        <v>273</v>
      </c>
      <c r="G19" s="33" t="s">
        <v>82</v>
      </c>
      <c r="H19" s="33" t="s">
        <v>294</v>
      </c>
      <c r="I19" s="35" t="s">
        <v>83</v>
      </c>
      <c r="J19" s="50">
        <f>C19*F19/1000</f>
        <v>1228.5</v>
      </c>
    </row>
    <row r="20" spans="2:10">
      <c r="B20" s="33" t="s">
        <v>84</v>
      </c>
      <c r="C20" s="34">
        <f>'Jahreswerte - Emden'!Q6+'Jahreswerte - Leer'!K$7+'Jahreswerte - Leer'!Q7+65</f>
        <v>27867</v>
      </c>
      <c r="D20" s="33" t="s">
        <v>21</v>
      </c>
      <c r="E20" s="33" t="s">
        <v>85</v>
      </c>
      <c r="F20" s="37">
        <f>Gesamtemissionen!E68/Gesamtemissionen!E69*1000</f>
        <v>-78.041473019136816</v>
      </c>
      <c r="G20" s="33" t="s">
        <v>86</v>
      </c>
      <c r="H20" s="33" t="s">
        <v>296</v>
      </c>
      <c r="I20" s="35" t="s">
        <v>295</v>
      </c>
      <c r="J20" s="36">
        <f>IF(ISERROR(C20*F20/1000),"kein Wert",C20*F20/1000)</f>
        <v>-2174.7817286242857</v>
      </c>
    </row>
    <row r="21" spans="2:10">
      <c r="B21" s="33" t="s">
        <v>325</v>
      </c>
      <c r="C21" s="34">
        <v>0</v>
      </c>
      <c r="D21" s="33" t="s">
        <v>21</v>
      </c>
      <c r="E21" s="33"/>
      <c r="F21" s="37">
        <v>-1015</v>
      </c>
      <c r="G21" s="33" t="s">
        <v>86</v>
      </c>
      <c r="H21" s="33" t="s">
        <v>326</v>
      </c>
      <c r="I21" s="35" t="s">
        <v>298</v>
      </c>
      <c r="J21" s="36">
        <f>IF(ISERROR(C21*F21/1000),"kein Wert",C21*F21/1000)</f>
        <v>0</v>
      </c>
    </row>
    <row r="22" spans="2:10">
      <c r="B22" s="33" t="s">
        <v>88</v>
      </c>
      <c r="C22" s="34">
        <f>25740+2860+660</f>
        <v>29260</v>
      </c>
      <c r="D22" s="33" t="s">
        <v>21</v>
      </c>
      <c r="E22" s="33" t="s">
        <v>89</v>
      </c>
      <c r="F22" s="33">
        <v>-793</v>
      </c>
      <c r="G22" s="33" t="s">
        <v>86</v>
      </c>
      <c r="H22" s="33" t="s">
        <v>297</v>
      </c>
      <c r="I22" s="35" t="s">
        <v>298</v>
      </c>
      <c r="J22" s="50">
        <f>C22*F22/1000</f>
        <v>-23203.18</v>
      </c>
    </row>
    <row r="23" spans="2:10">
      <c r="B23" s="33" t="s">
        <v>265</v>
      </c>
      <c r="C23" s="34">
        <v>1800</v>
      </c>
      <c r="D23" s="33" t="s">
        <v>21</v>
      </c>
      <c r="E23" s="33" t="s">
        <v>91</v>
      </c>
      <c r="F23" s="33">
        <v>1900</v>
      </c>
      <c r="G23" s="33" t="s">
        <v>86</v>
      </c>
      <c r="H23" s="33" t="s">
        <v>299</v>
      </c>
      <c r="I23" s="35" t="s">
        <v>300</v>
      </c>
      <c r="J23" s="50">
        <f>C23*F23/1000</f>
        <v>3420</v>
      </c>
    </row>
    <row r="24" spans="2:10">
      <c r="B24" s="33" t="s">
        <v>92</v>
      </c>
      <c r="C24" s="34">
        <v>756</v>
      </c>
      <c r="D24" s="33" t="s">
        <v>21</v>
      </c>
      <c r="E24" s="33" t="s">
        <v>91</v>
      </c>
      <c r="F24" s="33">
        <v>-945</v>
      </c>
      <c r="G24" s="33" t="s">
        <v>86</v>
      </c>
      <c r="H24" s="33" t="s">
        <v>301</v>
      </c>
      <c r="I24" s="35" t="s">
        <v>298</v>
      </c>
      <c r="J24" s="50">
        <f>C24*F24/1000</f>
        <v>-714.42</v>
      </c>
    </row>
    <row r="25" spans="2:10">
      <c r="B25" s="38" t="s">
        <v>93</v>
      </c>
      <c r="C25" s="39">
        <v>177452</v>
      </c>
      <c r="D25" s="38" t="s">
        <v>99</v>
      </c>
      <c r="E25" s="38"/>
      <c r="F25" s="38">
        <v>166</v>
      </c>
      <c r="G25" s="38" t="s">
        <v>94</v>
      </c>
      <c r="H25" s="38" t="s">
        <v>302</v>
      </c>
      <c r="I25" s="40" t="s">
        <v>95</v>
      </c>
      <c r="J25" s="41">
        <f>IF(ISERROR(C25*F25/1000),"kein Wert",C25*F25/1000)</f>
        <v>29457.031999999999</v>
      </c>
    </row>
    <row r="26" spans="2:10">
      <c r="B26" s="38" t="s">
        <v>96</v>
      </c>
      <c r="C26" s="46">
        <v>182025</v>
      </c>
      <c r="D26" s="38" t="s">
        <v>99</v>
      </c>
      <c r="E26" s="38"/>
      <c r="F26" s="38">
        <v>31</v>
      </c>
      <c r="G26" s="38" t="s">
        <v>94</v>
      </c>
      <c r="H26" s="38" t="s">
        <v>302</v>
      </c>
      <c r="I26" s="40" t="s">
        <v>95</v>
      </c>
      <c r="J26" s="41">
        <f>IF(ISERROR(C26*F26/1000),"kein Wert",C26*F26/1000)</f>
        <v>5642.7749999999996</v>
      </c>
    </row>
    <row r="27" spans="2:10">
      <c r="B27" s="38" t="s">
        <v>97</v>
      </c>
      <c r="C27" s="46">
        <v>633296</v>
      </c>
      <c r="D27" s="38" t="s">
        <v>99</v>
      </c>
      <c r="E27" s="38"/>
      <c r="F27" s="42">
        <v>238</v>
      </c>
      <c r="G27" s="38" t="s">
        <v>94</v>
      </c>
      <c r="H27" s="38" t="s">
        <v>302</v>
      </c>
      <c r="I27" s="40" t="s">
        <v>95</v>
      </c>
      <c r="J27" s="41">
        <f>IF(ISERROR(C27*F27/1000),"kein Wert",C27*F27/1000)</f>
        <v>150724.448</v>
      </c>
    </row>
    <row r="28" spans="2:10">
      <c r="B28" s="38" t="s">
        <v>98</v>
      </c>
      <c r="C28" s="39" t="e">
        <f>Mobilität!X113</f>
        <v>#VALUE!</v>
      </c>
      <c r="D28" s="38" t="s">
        <v>99</v>
      </c>
      <c r="E28" s="40" t="s">
        <v>100</v>
      </c>
      <c r="F28" s="38">
        <v>31</v>
      </c>
      <c r="G28" s="38" t="s">
        <v>94</v>
      </c>
      <c r="H28" s="38" t="s">
        <v>302</v>
      </c>
      <c r="I28" s="40" t="s">
        <v>95</v>
      </c>
      <c r="J28" s="41" t="str">
        <f>IF(ISERROR(C28*F28/1000),"kein Wert",C28*F28/1000)</f>
        <v>kein Wert</v>
      </c>
    </row>
    <row r="29" spans="2:10">
      <c r="B29" s="38" t="s">
        <v>101</v>
      </c>
      <c r="C29" s="39" t="e">
        <f>Mobilität!Y113</f>
        <v>#VALUE!</v>
      </c>
      <c r="D29" s="38" t="s">
        <v>99</v>
      </c>
      <c r="E29" s="38" t="s">
        <v>242</v>
      </c>
      <c r="F29" s="42">
        <v>238</v>
      </c>
      <c r="G29" s="38" t="s">
        <v>94</v>
      </c>
      <c r="H29" s="38" t="s">
        <v>302</v>
      </c>
      <c r="I29" s="40" t="s">
        <v>95</v>
      </c>
      <c r="J29" s="41" t="str">
        <f>IF(ISERROR(C29*F29/1000),"kein Wert",C29*F29/1000)</f>
        <v>kein Wert</v>
      </c>
    </row>
    <row r="30" spans="2:10">
      <c r="B30" s="38" t="s">
        <v>103</v>
      </c>
      <c r="C30" s="39">
        <f>(Mobilität!K$8+Mobilität!P$8)*5/6</f>
        <v>18855120.031447116</v>
      </c>
      <c r="D30" s="38" t="s">
        <v>99</v>
      </c>
      <c r="E30" s="38" t="s">
        <v>104</v>
      </c>
      <c r="F30" s="38">
        <v>166</v>
      </c>
      <c r="G30" s="38" t="s">
        <v>94</v>
      </c>
      <c r="H30" s="38" t="s">
        <v>302</v>
      </c>
      <c r="I30" s="40" t="s">
        <v>95</v>
      </c>
      <c r="J30" s="41">
        <f>IF(ISERROR(C30*F30/1000),"kein Wert",C30*F30/1000)</f>
        <v>3129949.9252202217</v>
      </c>
    </row>
    <row r="31" spans="2:10">
      <c r="B31" s="38" t="s">
        <v>105</v>
      </c>
      <c r="C31" s="39">
        <f>(Mobilität!K$8+Mobilität!P$8)*1/6</f>
        <v>3771024.0062894239</v>
      </c>
      <c r="D31" s="38" t="s">
        <v>99</v>
      </c>
      <c r="E31" s="43" t="s">
        <v>106</v>
      </c>
      <c r="F31" s="38">
        <v>58</v>
      </c>
      <c r="G31" s="38" t="s">
        <v>94</v>
      </c>
      <c r="H31" s="38" t="s">
        <v>302</v>
      </c>
      <c r="I31" s="40" t="s">
        <v>95</v>
      </c>
      <c r="J31" s="41">
        <f>IF(ISERROR(C31*F31/1000),"kein Wert",C31*F31/1000)</f>
        <v>218719.39236478659</v>
      </c>
    </row>
  </sheetData>
  <hyperlinks>
    <hyperlink ref="E31" r:id="rId1" xr:uid="{458AF1D3-2752-408D-B516-68C4A12B0ACC}"/>
    <hyperlink ref="E28" r:id="rId2" xr:uid="{5D60BD7D-714F-4ECB-BE92-4D84FA602684}"/>
    <hyperlink ref="I4" r:id="rId3" xr:uid="{CE0B63B2-0EAE-4CC5-B906-9220BB97F6C7}"/>
    <hyperlink ref="I5" r:id="rId4" xr:uid="{FB98150F-5869-4B6C-962D-227F3C5173E5}"/>
    <hyperlink ref="I7" r:id="rId5" xr:uid="{320DECBA-4407-4790-9394-A9998598E1B0}"/>
    <hyperlink ref="H7" r:id="rId6" display="https://www.energiedeutschland.de/uber-uns/stromkennzeichnung/ ;Ökostrombezug" xr:uid="{7C1EB209-A229-40FB-A49E-C3169F91AE94}"/>
    <hyperlink ref="I20" r:id="rId7" xr:uid="{F89885ED-9423-4B9D-9BBC-47D129A5CF90}"/>
    <hyperlink ref="I19" r:id="rId8" xr:uid="{8A47CB7F-FBC7-48A0-84FD-2981BE732BB6}"/>
    <hyperlink ref="I23" r:id="rId9" xr:uid="{681816F8-9DA2-4A69-84D0-99A79A34B2C0}"/>
    <hyperlink ref="I18" r:id="rId10" xr:uid="{C8D8D20D-3D3B-4729-8F50-FF7B437B41DD}"/>
    <hyperlink ref="I10" r:id="rId11" xr:uid="{D383B5E1-05EF-4328-A64C-8BDD002FBE10}"/>
    <hyperlink ref="I11" r:id="rId12" xr:uid="{1B09E180-F69B-4998-ABE9-C608EEBDF991}"/>
    <hyperlink ref="I9" r:id="rId13" display="https://www.umweltbundesamt.de/publikationen/entwicklung-der-spezifischen-treibhausgas-9 " xr:uid="{4E7F0A4A-AC80-4DA8-A78C-CF02FD97D8E2}"/>
    <hyperlink ref="I8" r:id="rId14" xr:uid="{C3DE9E33-1D32-4BCB-95CB-E25A424BA85A}"/>
    <hyperlink ref="I12" r:id="rId15" location="/details/218bbfcd-d3aa-4449-ae1e-25887291a21a" xr:uid="{F9FE3D8B-B248-49D3-90CC-E75CB253717E}"/>
    <hyperlink ref="I15" r:id="rId16" xr:uid="{8F62A8DE-ECC4-44A9-9EFB-9874C42EA33E}"/>
    <hyperlink ref="I13" r:id="rId17" xr:uid="{8A258685-BA0D-40F7-AC35-6477ABE12964}"/>
    <hyperlink ref="I14" r:id="rId18" xr:uid="{097047FF-661A-4D49-878D-98AAC6B527CB}"/>
    <hyperlink ref="I22" r:id="rId19" xr:uid="{E9D56F05-8057-4FCA-A97B-84C677DA151A}"/>
    <hyperlink ref="I21" r:id="rId20" xr:uid="{B45D4B9A-2725-4077-AF86-2887131DD8A8}"/>
    <hyperlink ref="I3" r:id="rId21" xr:uid="{A432F504-0C73-4EBC-AEB3-1DE1490E8B10}"/>
  </hyperlink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723B5-ADE1-4793-AACA-5DBBD035AFE4}">
  <dimension ref="A1:J27"/>
  <sheetViews>
    <sheetView workbookViewId="0">
      <selection sqref="A1:J27"/>
    </sheetView>
  </sheetViews>
  <sheetFormatPr baseColWidth="10" defaultRowHeight="15"/>
  <sheetData>
    <row r="1" spans="1:10">
      <c r="B1">
        <v>2022</v>
      </c>
    </row>
    <row r="2" spans="1:10">
      <c r="A2" t="s">
        <v>49</v>
      </c>
      <c r="C2" t="s">
        <v>51</v>
      </c>
      <c r="D2" t="s">
        <v>19</v>
      </c>
      <c r="E2" t="s">
        <v>52</v>
      </c>
      <c r="F2" t="s">
        <v>53</v>
      </c>
      <c r="G2" t="s">
        <v>19</v>
      </c>
      <c r="H2" t="s">
        <v>52</v>
      </c>
      <c r="J2" t="s">
        <v>54</v>
      </c>
    </row>
    <row r="3" spans="1:10">
      <c r="A3">
        <v>1</v>
      </c>
      <c r="B3" s="21" t="s">
        <v>55</v>
      </c>
      <c r="C3" s="22">
        <f>'Jahreswerte - Emden'!N5+'Jahreswerte - Leer'!D6+'Jahreswerte - Leer'!E6</f>
        <v>5784224</v>
      </c>
      <c r="D3" s="21" t="s">
        <v>263</v>
      </c>
      <c r="E3" s="21" t="s">
        <v>56</v>
      </c>
      <c r="F3" s="71">
        <f>3.2508*0.0558*1000</f>
        <v>181.39464000000001</v>
      </c>
      <c r="G3" s="21" t="s">
        <v>57</v>
      </c>
      <c r="H3" s="21" t="s">
        <v>264</v>
      </c>
      <c r="I3" s="23" t="s">
        <v>279</v>
      </c>
      <c r="J3" s="24">
        <f>IF(ISERROR(C3*F3/1000),"kein Wert",C3*F3/1000)</f>
        <v>1049227.23015936</v>
      </c>
    </row>
    <row r="4" spans="1:10">
      <c r="B4" s="21" t="s">
        <v>58</v>
      </c>
      <c r="C4" s="81">
        <f>Mobilität!C19</f>
        <v>60727</v>
      </c>
      <c r="D4" s="80" t="s">
        <v>258</v>
      </c>
      <c r="E4" s="82" t="s">
        <v>259</v>
      </c>
      <c r="F4" s="80" t="s">
        <v>104</v>
      </c>
      <c r="G4" s="80"/>
      <c r="H4" s="80"/>
      <c r="I4" s="82"/>
      <c r="J4" s="79">
        <f>Mobilität!D19</f>
        <v>11452.644</v>
      </c>
    </row>
    <row r="5" spans="1:10">
      <c r="B5" s="21" t="s">
        <v>62</v>
      </c>
      <c r="C5" s="81"/>
      <c r="D5" s="80"/>
      <c r="E5" s="82"/>
      <c r="F5" s="80"/>
      <c r="G5" s="80"/>
      <c r="H5" s="80"/>
      <c r="I5" s="82"/>
      <c r="J5" s="79"/>
    </row>
    <row r="6" spans="1:10">
      <c r="A6">
        <v>2</v>
      </c>
      <c r="B6" s="21" t="s">
        <v>267</v>
      </c>
      <c r="C6" s="22">
        <f>'Jahreswerte - Emden'!F5+'Jahreswerte - Leer'!B6+'Jahreswerte - Leer'!C6+'Jahreswerte - Leer'!M6</f>
        <v>1017164</v>
      </c>
      <c r="D6" s="21" t="s">
        <v>20</v>
      </c>
      <c r="E6" s="21" t="s">
        <v>56</v>
      </c>
      <c r="F6" s="21">
        <v>434</v>
      </c>
      <c r="G6" s="21" t="s">
        <v>57</v>
      </c>
      <c r="H6" s="21" t="s">
        <v>285</v>
      </c>
      <c r="I6" s="74" t="s">
        <v>284</v>
      </c>
      <c r="J6" s="47">
        <f>C6*F6/1000</f>
        <v>441449.17599999998</v>
      </c>
    </row>
    <row r="7" spans="1:10">
      <c r="A7">
        <v>2</v>
      </c>
      <c r="B7" s="21" t="s">
        <v>266</v>
      </c>
      <c r="C7" s="22">
        <f>C6</f>
        <v>1017164</v>
      </c>
      <c r="D7" s="21" t="s">
        <v>20</v>
      </c>
      <c r="E7" s="21" t="s">
        <v>56</v>
      </c>
      <c r="F7" s="21">
        <v>0</v>
      </c>
      <c r="G7" s="21" t="s">
        <v>57</v>
      </c>
      <c r="H7" s="21" t="s">
        <v>287</v>
      </c>
      <c r="I7" s="23" t="s">
        <v>286</v>
      </c>
      <c r="J7" s="24">
        <f>IF(ISERROR(C7*F7/1000),"kein Wert",C7*F7/1000)</f>
        <v>0</v>
      </c>
    </row>
    <row r="8" spans="1:10">
      <c r="A8">
        <v>3</v>
      </c>
      <c r="B8" s="25" t="s">
        <v>65</v>
      </c>
      <c r="C8" s="26">
        <f>C3</f>
        <v>5784224</v>
      </c>
      <c r="D8" s="25" t="s">
        <v>263</v>
      </c>
      <c r="E8" s="25" t="s">
        <v>56</v>
      </c>
      <c r="F8" s="72">
        <f>25.44*0.9024</f>
        <v>22.957056000000001</v>
      </c>
      <c r="G8" s="25" t="s">
        <v>57</v>
      </c>
      <c r="H8" s="25" t="s">
        <v>290</v>
      </c>
      <c r="I8" s="27" t="s">
        <v>288</v>
      </c>
      <c r="J8" s="48">
        <f>C8*F8/1000</f>
        <v>132788.754284544</v>
      </c>
    </row>
    <row r="9" spans="1:10">
      <c r="A9" t="s">
        <v>66</v>
      </c>
      <c r="B9" s="25" t="s">
        <v>67</v>
      </c>
      <c r="C9" s="26">
        <f>C6</f>
        <v>1017164</v>
      </c>
      <c r="D9" s="25" t="s">
        <v>20</v>
      </c>
      <c r="E9" s="25" t="s">
        <v>56</v>
      </c>
      <c r="F9" s="25">
        <f>498-F6</f>
        <v>64</v>
      </c>
      <c r="G9" s="25" t="s">
        <v>57</v>
      </c>
      <c r="H9" s="25" t="s">
        <v>289</v>
      </c>
      <c r="I9" s="27" t="s">
        <v>277</v>
      </c>
      <c r="J9" s="48">
        <f>C9*F9/1000</f>
        <v>65098.495999999999</v>
      </c>
    </row>
    <row r="10" spans="1:10">
      <c r="B10" s="25" t="s">
        <v>68</v>
      </c>
      <c r="C10" s="26" t="s">
        <v>59</v>
      </c>
      <c r="D10" s="25" t="s">
        <v>108</v>
      </c>
      <c r="E10" s="25"/>
      <c r="F10" s="25">
        <v>713.43</v>
      </c>
      <c r="G10" s="25" t="s">
        <v>60</v>
      </c>
      <c r="H10" s="25" t="s">
        <v>281</v>
      </c>
      <c r="I10" s="27" t="s">
        <v>61</v>
      </c>
      <c r="J10" s="28" t="str">
        <f>IF(ISERROR(C10*F10/1000),"kein Wert",C10*F10/1000)</f>
        <v>kein Wert</v>
      </c>
    </row>
    <row r="11" spans="1:10">
      <c r="B11" s="25" t="s">
        <v>69</v>
      </c>
      <c r="C11" s="26" t="s">
        <v>59</v>
      </c>
      <c r="D11" s="25" t="s">
        <v>108</v>
      </c>
      <c r="E11" s="25"/>
      <c r="F11" s="25">
        <v>584</v>
      </c>
      <c r="G11" s="25" t="s">
        <v>60</v>
      </c>
      <c r="H11" s="25" t="s">
        <v>282</v>
      </c>
      <c r="I11" s="27" t="s">
        <v>63</v>
      </c>
      <c r="J11" s="28" t="str">
        <f>IF(ISERROR(C11*F11/1000),"kein Wert",C11*F11/1000)</f>
        <v>kein Wert</v>
      </c>
    </row>
    <row r="12" spans="1:10">
      <c r="B12" s="29" t="s">
        <v>70</v>
      </c>
      <c r="C12" s="30">
        <f>'Jahreswerte - Emden'!P5+'Jahreswerte - Leer'!F6+'Jahreswerte - Leer'!G6+'Jahreswerte - Leer'!N6</f>
        <v>1323</v>
      </c>
      <c r="D12" s="29" t="s">
        <v>71</v>
      </c>
      <c r="E12" s="29" t="s">
        <v>56</v>
      </c>
      <c r="F12" s="29">
        <v>242</v>
      </c>
      <c r="G12" s="29" t="s">
        <v>72</v>
      </c>
      <c r="H12" s="29" t="s">
        <v>291</v>
      </c>
      <c r="I12" s="31" t="s">
        <v>73</v>
      </c>
      <c r="J12" s="49">
        <f>C12*F12/1000</f>
        <v>320.166</v>
      </c>
    </row>
    <row r="13" spans="1:10">
      <c r="B13" s="29" t="s">
        <v>74</v>
      </c>
      <c r="C13" s="30">
        <v>437657</v>
      </c>
      <c r="D13" s="29" t="s">
        <v>75</v>
      </c>
      <c r="E13" s="29" t="s">
        <v>76</v>
      </c>
      <c r="F13" s="29">
        <v>4.84</v>
      </c>
      <c r="G13" s="29" t="s">
        <v>77</v>
      </c>
      <c r="H13" s="29" t="s">
        <v>292</v>
      </c>
      <c r="I13" s="31" t="s">
        <v>293</v>
      </c>
      <c r="J13" s="49">
        <f>C13*F13/1000</f>
        <v>2118.2598800000001</v>
      </c>
    </row>
    <row r="14" spans="1:10">
      <c r="B14" s="29" t="s">
        <v>78</v>
      </c>
      <c r="C14" s="30" t="s">
        <v>59</v>
      </c>
      <c r="D14" s="29"/>
      <c r="E14" s="29"/>
      <c r="F14" s="29"/>
      <c r="G14" s="29"/>
      <c r="H14" s="29"/>
      <c r="I14" s="29"/>
      <c r="J14" s="32" t="str">
        <f>IF(ISERROR(C14*F14/1000),"kein Wert",C14*F14/1000)</f>
        <v>kein Wert</v>
      </c>
    </row>
    <row r="15" spans="1:10">
      <c r="B15" s="29" t="s">
        <v>79</v>
      </c>
      <c r="C15" s="30">
        <v>1</v>
      </c>
      <c r="D15" s="29" t="s">
        <v>109</v>
      </c>
      <c r="E15" s="29" t="s">
        <v>80</v>
      </c>
      <c r="F15" s="29" t="s">
        <v>110</v>
      </c>
      <c r="G15" s="29" t="s">
        <v>21</v>
      </c>
      <c r="H15" s="29" t="s">
        <v>304</v>
      </c>
      <c r="I15" s="31" t="s">
        <v>303</v>
      </c>
      <c r="J15" s="49">
        <f>7800+84*82</f>
        <v>14688</v>
      </c>
    </row>
    <row r="16" spans="1:10">
      <c r="B16" s="33" t="s">
        <v>81</v>
      </c>
      <c r="C16" s="34">
        <f>C12</f>
        <v>1323</v>
      </c>
      <c r="D16" s="33" t="s">
        <v>71</v>
      </c>
      <c r="E16" s="33" t="s">
        <v>56</v>
      </c>
      <c r="F16" s="33">
        <f>273</f>
        <v>273</v>
      </c>
      <c r="G16" s="33" t="s">
        <v>82</v>
      </c>
      <c r="H16" s="33" t="s">
        <v>294</v>
      </c>
      <c r="I16" s="35" t="s">
        <v>83</v>
      </c>
      <c r="J16" s="50">
        <f>C16*F16/1000</f>
        <v>361.17899999999997</v>
      </c>
    </row>
    <row r="17" spans="2:10">
      <c r="B17" s="33" t="s">
        <v>84</v>
      </c>
      <c r="C17" s="34">
        <f>'Jahreswerte - Emden'!Q5+'Jahreswerte - Leer'!K$4+'Jahreswerte - Leer'!Q5+'Jahreswerte - Emden'!T6</f>
        <v>28247</v>
      </c>
      <c r="D17" s="33" t="s">
        <v>21</v>
      </c>
      <c r="E17" s="33" t="s">
        <v>85</v>
      </c>
      <c r="F17" s="37">
        <f>Gesamtemissionen!D68/Gesamtemissionen!D69*1000</f>
        <v>-137.25088548637615</v>
      </c>
      <c r="G17" s="33" t="s">
        <v>86</v>
      </c>
      <c r="H17" s="33" t="s">
        <v>296</v>
      </c>
      <c r="I17" s="35" t="s">
        <v>295</v>
      </c>
      <c r="J17" s="50">
        <f>C17*F17/1000</f>
        <v>-3876.9257623336671</v>
      </c>
    </row>
    <row r="18" spans="2:10">
      <c r="B18" s="33" t="s">
        <v>88</v>
      </c>
      <c r="C18" s="34">
        <f>25740+2860+660</f>
        <v>29260</v>
      </c>
      <c r="D18" s="33" t="s">
        <v>21</v>
      </c>
      <c r="E18" s="33" t="s">
        <v>89</v>
      </c>
      <c r="F18" s="33">
        <v>-793</v>
      </c>
      <c r="G18" s="33" t="s">
        <v>86</v>
      </c>
      <c r="H18" s="33" t="s">
        <v>297</v>
      </c>
      <c r="I18" s="35" t="s">
        <v>298</v>
      </c>
      <c r="J18" s="50">
        <f>C18*F18/1000</f>
        <v>-23203.18</v>
      </c>
    </row>
    <row r="19" spans="2:10">
      <c r="B19" s="33" t="s">
        <v>90</v>
      </c>
      <c r="C19" s="34">
        <v>1800</v>
      </c>
      <c r="D19" s="33" t="s">
        <v>21</v>
      </c>
      <c r="E19" s="33" t="s">
        <v>91</v>
      </c>
      <c r="F19" s="33">
        <v>1900</v>
      </c>
      <c r="G19" s="33" t="s">
        <v>86</v>
      </c>
      <c r="H19" s="33" t="s">
        <v>299</v>
      </c>
      <c r="I19" s="35" t="s">
        <v>300</v>
      </c>
      <c r="J19" s="50">
        <f>C19*F19/1000</f>
        <v>3420</v>
      </c>
    </row>
    <row r="20" spans="2:10">
      <c r="B20" s="33" t="s">
        <v>92</v>
      </c>
      <c r="C20" s="34">
        <v>756</v>
      </c>
      <c r="D20" s="33" t="s">
        <v>21</v>
      </c>
      <c r="E20" s="33" t="s">
        <v>91</v>
      </c>
      <c r="F20" s="33">
        <v>-945</v>
      </c>
      <c r="G20" s="33" t="s">
        <v>86</v>
      </c>
      <c r="H20" s="33" t="s">
        <v>301</v>
      </c>
      <c r="I20" s="35" t="s">
        <v>298</v>
      </c>
      <c r="J20" s="50">
        <f>C20*F20/1000</f>
        <v>-714.42</v>
      </c>
    </row>
    <row r="21" spans="2:10">
      <c r="B21" s="38" t="s">
        <v>93</v>
      </c>
      <c r="C21" s="39" t="s">
        <v>59</v>
      </c>
      <c r="D21" s="38"/>
      <c r="E21" s="38"/>
      <c r="F21" s="38">
        <v>166</v>
      </c>
      <c r="G21" s="38" t="s">
        <v>94</v>
      </c>
      <c r="H21" s="38" t="s">
        <v>302</v>
      </c>
      <c r="I21" s="40" t="s">
        <v>95</v>
      </c>
      <c r="J21" s="41" t="str">
        <f>IF(ISERROR(C21*F21/1000),"kein Wert",C21*F21/1000)</f>
        <v>kein Wert</v>
      </c>
    </row>
    <row r="22" spans="2:10">
      <c r="B22" s="38" t="s">
        <v>96</v>
      </c>
      <c r="C22" s="46" t="s">
        <v>59</v>
      </c>
      <c r="D22" s="38"/>
      <c r="E22" s="38"/>
      <c r="F22" s="38">
        <v>31</v>
      </c>
      <c r="G22" s="38" t="s">
        <v>94</v>
      </c>
      <c r="H22" s="38" t="s">
        <v>302</v>
      </c>
      <c r="I22" s="40" t="s">
        <v>95</v>
      </c>
      <c r="J22" s="41" t="str">
        <f>IF(ISERROR(C22*F22/1000),"kein Wert",C22*F22/1000)</f>
        <v>kein Wert</v>
      </c>
    </row>
    <row r="23" spans="2:10">
      <c r="B23" s="38" t="s">
        <v>97</v>
      </c>
      <c r="C23" s="46" t="s">
        <v>59</v>
      </c>
      <c r="D23" s="38"/>
      <c r="E23" s="38"/>
      <c r="F23" s="42">
        <v>238</v>
      </c>
      <c r="G23" s="38" t="s">
        <v>94</v>
      </c>
      <c r="H23" s="38" t="s">
        <v>302</v>
      </c>
      <c r="I23" s="40" t="s">
        <v>95</v>
      </c>
      <c r="J23" s="41" t="str">
        <f>IF(ISERROR(C23*F23/1000),"kein Wert",C23*F23/1000)</f>
        <v>kein Wert</v>
      </c>
    </row>
    <row r="24" spans="2:10">
      <c r="B24" s="38" t="s">
        <v>98</v>
      </c>
      <c r="C24" s="39">
        <f>Mobilität!Q113</f>
        <v>84840</v>
      </c>
      <c r="D24" s="38" t="s">
        <v>99</v>
      </c>
      <c r="E24" s="40" t="s">
        <v>100</v>
      </c>
      <c r="F24" s="38">
        <v>31</v>
      </c>
      <c r="G24" s="38" t="s">
        <v>94</v>
      </c>
      <c r="H24" s="38" t="s">
        <v>302</v>
      </c>
      <c r="I24" s="40" t="s">
        <v>95</v>
      </c>
      <c r="J24" s="41">
        <f>IF(ISERROR(C24*F24/1000),"kein Wert",C24*F24/1000)</f>
        <v>2630.04</v>
      </c>
    </row>
    <row r="25" spans="2:10">
      <c r="B25" s="38" t="s">
        <v>101</v>
      </c>
      <c r="C25" s="39">
        <f>Mobilität!R113</f>
        <v>391502</v>
      </c>
      <c r="D25" s="38" t="s">
        <v>99</v>
      </c>
      <c r="E25" s="38" t="s">
        <v>102</v>
      </c>
      <c r="F25" s="42">
        <v>238</v>
      </c>
      <c r="G25" s="38" t="s">
        <v>94</v>
      </c>
      <c r="H25" s="38" t="s">
        <v>302</v>
      </c>
      <c r="I25" s="40" t="s">
        <v>95</v>
      </c>
      <c r="J25" s="41">
        <f>IF(ISERROR(C25*F25/1000),"kein Wert",C25*F25/1000)</f>
        <v>93177.475999999995</v>
      </c>
    </row>
    <row r="26" spans="2:10">
      <c r="B26" s="38" t="s">
        <v>103</v>
      </c>
      <c r="C26" s="39">
        <f>(Mobilität!J$8+Mobilität!O$8)*5/6</f>
        <v>24533872.61654209</v>
      </c>
      <c r="D26" s="38" t="s">
        <v>99</v>
      </c>
      <c r="E26" s="38" t="s">
        <v>104</v>
      </c>
      <c r="F26" s="38">
        <v>166</v>
      </c>
      <c r="G26" s="38" t="s">
        <v>94</v>
      </c>
      <c r="H26" s="38" t="s">
        <v>302</v>
      </c>
      <c r="I26" s="40" t="s">
        <v>95</v>
      </c>
      <c r="J26" s="41">
        <f>IF(ISERROR(C26*F26/1000),"kein Wert",C26*F26/1000)</f>
        <v>4072622.8543459866</v>
      </c>
    </row>
    <row r="27" spans="2:10">
      <c r="B27" s="38" t="s">
        <v>105</v>
      </c>
      <c r="C27" s="39">
        <f>(Mobilität!J$8+Mobilität!O$8)*1/6</f>
        <v>4906774.5233084178</v>
      </c>
      <c r="D27" s="38" t="s">
        <v>99</v>
      </c>
      <c r="E27" s="43" t="s">
        <v>106</v>
      </c>
      <c r="F27" s="38">
        <v>58</v>
      </c>
      <c r="G27" s="38" t="s">
        <v>94</v>
      </c>
      <c r="H27" s="38" t="s">
        <v>302</v>
      </c>
      <c r="I27" s="40" t="s">
        <v>95</v>
      </c>
      <c r="J27" s="41">
        <f>IF(ISERROR(C27*F27/1000),"kein Wert",C27*F27/1000)</f>
        <v>284592.92235188826</v>
      </c>
    </row>
  </sheetData>
  <mergeCells count="6">
    <mergeCell ref="J4:J5"/>
    <mergeCell ref="F4:H5"/>
    <mergeCell ref="C4:C5"/>
    <mergeCell ref="D4:D5"/>
    <mergeCell ref="E4:E5"/>
    <mergeCell ref="I4:I5"/>
  </mergeCells>
  <hyperlinks>
    <hyperlink ref="E27" r:id="rId1" xr:uid="{869E66F5-0903-4DFE-BD87-7BF5EF7782CF}"/>
    <hyperlink ref="E24" r:id="rId2" xr:uid="{B0363E1B-B5E9-450D-BC76-CE596230AEEF}"/>
    <hyperlink ref="I15" r:id="rId3" xr:uid="{737AEBA3-EF56-4AD3-9CDC-D38DAF54418E}"/>
    <hyperlink ref="I10" r:id="rId4" xr:uid="{473C4522-409D-4C29-A3C7-F5A4BD83E12A}"/>
    <hyperlink ref="I11" r:id="rId5" xr:uid="{81C86116-166B-449B-BF79-FDA5E468AFDB}"/>
    <hyperlink ref="I6" r:id="rId6" xr:uid="{DAD65CFB-5E10-4874-9CC3-8947F28E7BB7}"/>
    <hyperlink ref="I9" r:id="rId7" display="https://www.umweltbundesamt.de/publikationen/entwicklung-der-spezifischen-treibhausgas-9 " xr:uid="{64EA9B53-4A78-4C8A-A9C0-4C89103D282F}"/>
    <hyperlink ref="I8" r:id="rId8" xr:uid="{F6C8EACE-D1F9-4E40-8F61-5E04A7C59201}"/>
    <hyperlink ref="I7" r:id="rId9" xr:uid="{74F912B8-278F-40B7-A173-7E77B8ADBA61}"/>
    <hyperlink ref="I12" r:id="rId10" location="/details/218bbfcd-d3aa-4449-ae1e-25887291a21a" xr:uid="{7AF84E80-A7E8-4054-97DB-833C215F2793}"/>
    <hyperlink ref="I13" r:id="rId11" xr:uid="{EEF97B42-9C42-4D4A-975B-EE0F7C754910}"/>
    <hyperlink ref="I17" r:id="rId12" xr:uid="{D9E3007C-D176-41B5-9749-5F8C2CA18D74}"/>
    <hyperlink ref="I16" r:id="rId13" xr:uid="{69518D66-8CA0-456B-82B0-7E8F95C55818}"/>
    <hyperlink ref="I19" r:id="rId14" xr:uid="{E76B1F3B-C197-4A36-AD39-9BEF3307B509}"/>
    <hyperlink ref="I21" r:id="rId15" location="verkehrsmittelvergleich" xr:uid="{ED004004-BBD5-40AC-B0DE-06FD1E832F5D}"/>
  </hyperlink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7867E-1973-4527-AB7C-0B9E2308B1D4}">
  <dimension ref="A1:J27"/>
  <sheetViews>
    <sheetView workbookViewId="0">
      <selection sqref="A1:J27"/>
    </sheetView>
  </sheetViews>
  <sheetFormatPr baseColWidth="10" defaultRowHeight="15"/>
  <sheetData>
    <row r="1" spans="1:10">
      <c r="B1">
        <v>2021</v>
      </c>
    </row>
    <row r="2" spans="1:10">
      <c r="A2" t="s">
        <v>49</v>
      </c>
      <c r="C2" t="s">
        <v>51</v>
      </c>
      <c r="D2" t="s">
        <v>19</v>
      </c>
      <c r="E2" t="s">
        <v>52</v>
      </c>
      <c r="F2" t="s">
        <v>53</v>
      </c>
      <c r="G2" t="s">
        <v>19</v>
      </c>
      <c r="H2" t="s">
        <v>52</v>
      </c>
      <c r="J2" t="s">
        <v>54</v>
      </c>
    </row>
    <row r="3" spans="1:10">
      <c r="A3">
        <v>1</v>
      </c>
      <c r="B3" s="21" t="s">
        <v>55</v>
      </c>
      <c r="C3" s="22">
        <f>'Jahreswerte - Emden'!N4+'Jahreswerte - Leer'!D5+'Jahreswerte - Leer'!E5</f>
        <v>6780891</v>
      </c>
      <c r="D3" s="21" t="s">
        <v>263</v>
      </c>
      <c r="E3" s="21" t="s">
        <v>56</v>
      </c>
      <c r="F3" s="71">
        <f>3.2508*0.0558*1000</f>
        <v>181.39464000000001</v>
      </c>
      <c r="G3" s="21" t="s">
        <v>57</v>
      </c>
      <c r="H3" s="21" t="s">
        <v>280</v>
      </c>
      <c r="I3" s="23" t="s">
        <v>279</v>
      </c>
      <c r="J3" s="24">
        <f>IF(ISERROR(C3*F3/1000),"kein Wert",C3*F3/1000)</f>
        <v>1230017.28182424</v>
      </c>
    </row>
    <row r="4" spans="1:10">
      <c r="B4" s="21" t="s">
        <v>58</v>
      </c>
      <c r="C4" s="22" t="s">
        <v>59</v>
      </c>
      <c r="D4" s="21"/>
      <c r="E4" s="21"/>
      <c r="F4" s="21">
        <v>2696.47</v>
      </c>
      <c r="G4" s="21" t="s">
        <v>60</v>
      </c>
      <c r="H4" s="21" t="s">
        <v>281</v>
      </c>
      <c r="I4" s="23" t="s">
        <v>283</v>
      </c>
      <c r="J4" s="24" t="str">
        <f>IF(ISERROR(C4*F4/1000),"kein Wert",C4*F4/1000)</f>
        <v>kein Wert</v>
      </c>
    </row>
    <row r="5" spans="1:10">
      <c r="B5" s="21" t="s">
        <v>62</v>
      </c>
      <c r="C5" s="22" t="s">
        <v>59</v>
      </c>
      <c r="D5" s="21"/>
      <c r="E5" s="21"/>
      <c r="F5" s="21">
        <v>2445.59</v>
      </c>
      <c r="G5" s="21" t="s">
        <v>60</v>
      </c>
      <c r="H5" s="21" t="s">
        <v>282</v>
      </c>
      <c r="I5" s="23" t="s">
        <v>283</v>
      </c>
      <c r="J5" s="24" t="str">
        <f>IF(ISERROR(C5*F5/1000),"kein Wert",C5*F5/1000)</f>
        <v>kein Wert</v>
      </c>
    </row>
    <row r="6" spans="1:10">
      <c r="A6">
        <v>2</v>
      </c>
      <c r="B6" s="21" t="s">
        <v>267</v>
      </c>
      <c r="C6" s="22">
        <f>'Jahreswerte - Emden'!F4+'Jahreswerte - Leer'!B5+'Jahreswerte - Leer'!C5+'Jahreswerte - Leer'!M5</f>
        <v>919558</v>
      </c>
      <c r="D6" s="21" t="s">
        <v>20</v>
      </c>
      <c r="E6" s="21" t="s">
        <v>56</v>
      </c>
      <c r="F6" s="21">
        <v>410</v>
      </c>
      <c r="G6" s="21" t="s">
        <v>57</v>
      </c>
      <c r="H6" s="21" t="s">
        <v>285</v>
      </c>
      <c r="I6" s="23" t="s">
        <v>284</v>
      </c>
      <c r="J6" s="24">
        <f>IF(ISERROR(C6*F6/1000),"kein Wert",C6*F6/1000)</f>
        <v>377018.78</v>
      </c>
    </row>
    <row r="7" spans="1:10">
      <c r="A7">
        <v>2</v>
      </c>
      <c r="B7" s="21" t="s">
        <v>266</v>
      </c>
      <c r="C7" s="22">
        <f>C6</f>
        <v>919558</v>
      </c>
      <c r="D7" s="21" t="s">
        <v>20</v>
      </c>
      <c r="E7" s="21" t="s">
        <v>56</v>
      </c>
      <c r="F7" s="21">
        <v>0</v>
      </c>
      <c r="G7" s="21" t="s">
        <v>57</v>
      </c>
      <c r="H7" s="21" t="s">
        <v>287</v>
      </c>
      <c r="I7" s="23" t="s">
        <v>286</v>
      </c>
      <c r="J7" s="24">
        <f>IF(ISERROR(C7*F7/1000),"kein Wert",C7*F7/1000)</f>
        <v>0</v>
      </c>
    </row>
    <row r="8" spans="1:10">
      <c r="A8">
        <v>3</v>
      </c>
      <c r="B8" s="25" t="s">
        <v>65</v>
      </c>
      <c r="C8" s="26">
        <f>C3</f>
        <v>6780891</v>
      </c>
      <c r="D8" s="25" t="s">
        <v>263</v>
      </c>
      <c r="E8" s="25" t="s">
        <v>56</v>
      </c>
      <c r="F8" s="72">
        <f>25.44*0.9024</f>
        <v>22.957056000000001</v>
      </c>
      <c r="G8" s="25" t="s">
        <v>57</v>
      </c>
      <c r="H8" s="25" t="s">
        <v>290</v>
      </c>
      <c r="I8" s="27" t="s">
        <v>288</v>
      </c>
      <c r="J8" s="28">
        <f>IF(ISERROR(C8*F8/1000),"kein Wert",C8*F8/1000)</f>
        <v>155669.29441689601</v>
      </c>
    </row>
    <row r="9" spans="1:10">
      <c r="A9" t="s">
        <v>66</v>
      </c>
      <c r="B9" s="25" t="s">
        <v>67</v>
      </c>
      <c r="C9" s="26">
        <f>C6</f>
        <v>919558</v>
      </c>
      <c r="D9" s="25" t="s">
        <v>20</v>
      </c>
      <c r="E9" s="25" t="s">
        <v>56</v>
      </c>
      <c r="F9" s="25">
        <f>475-F6</f>
        <v>65</v>
      </c>
      <c r="G9" s="25" t="s">
        <v>57</v>
      </c>
      <c r="H9" s="25" t="s">
        <v>289</v>
      </c>
      <c r="I9" s="27" t="s">
        <v>277</v>
      </c>
      <c r="J9" s="28">
        <f>IF(ISERROR(C9*F9/1000),"kein Wert",C9*F9/1000)</f>
        <v>59771.27</v>
      </c>
    </row>
    <row r="10" spans="1:10">
      <c r="B10" s="25" t="s">
        <v>68</v>
      </c>
      <c r="C10" s="26" t="s">
        <v>59</v>
      </c>
      <c r="D10" s="25"/>
      <c r="E10" s="25"/>
      <c r="F10" s="25">
        <v>713.43</v>
      </c>
      <c r="G10" s="25" t="s">
        <v>60</v>
      </c>
      <c r="H10" s="25" t="s">
        <v>281</v>
      </c>
      <c r="I10" s="27" t="s">
        <v>61</v>
      </c>
      <c r="J10" s="28" t="str">
        <f>IF(ISERROR(C10*F10/1000),"kein Wert",C10*F10/1000)</f>
        <v>kein Wert</v>
      </c>
    </row>
    <row r="11" spans="1:10">
      <c r="B11" s="25" t="s">
        <v>69</v>
      </c>
      <c r="C11" s="26" t="s">
        <v>59</v>
      </c>
      <c r="D11" s="25"/>
      <c r="E11" s="25"/>
      <c r="F11" s="25">
        <v>584</v>
      </c>
      <c r="G11" s="25" t="s">
        <v>60</v>
      </c>
      <c r="H11" s="25" t="s">
        <v>282</v>
      </c>
      <c r="I11" s="27" t="s">
        <v>63</v>
      </c>
      <c r="J11" s="28" t="str">
        <f>IF(ISERROR(C11*F11/1000),"kein Wert",C11*F11/1000)</f>
        <v>kein Wert</v>
      </c>
    </row>
    <row r="12" spans="1:10">
      <c r="B12" s="29" t="s">
        <v>70</v>
      </c>
      <c r="C12" s="30">
        <f>'Jahreswerte - Emden'!P4+'Jahreswerte - Leer'!F5+'Jahreswerte - Leer'!G5+'Jahreswerte - Leer'!N5</f>
        <v>450</v>
      </c>
      <c r="D12" s="29" t="s">
        <v>71</v>
      </c>
      <c r="E12" s="29" t="s">
        <v>56</v>
      </c>
      <c r="F12" s="29">
        <v>242</v>
      </c>
      <c r="G12" s="29" t="s">
        <v>72</v>
      </c>
      <c r="H12" s="29" t="s">
        <v>291</v>
      </c>
      <c r="I12" s="31" t="s">
        <v>73</v>
      </c>
      <c r="J12" s="32">
        <f>IF(ISERROR(C12*F12/1000),"kein Wert",C12*F12/1000)</f>
        <v>108.9</v>
      </c>
    </row>
    <row r="13" spans="1:10">
      <c r="B13" s="29" t="s">
        <v>74</v>
      </c>
      <c r="C13" s="30">
        <v>427845</v>
      </c>
      <c r="D13" s="29" t="s">
        <v>75</v>
      </c>
      <c r="E13" s="29" t="s">
        <v>76</v>
      </c>
      <c r="F13" s="29">
        <v>4.84</v>
      </c>
      <c r="G13" s="29" t="s">
        <v>77</v>
      </c>
      <c r="H13" s="29" t="s">
        <v>292</v>
      </c>
      <c r="I13" s="31" t="s">
        <v>293</v>
      </c>
      <c r="J13" s="32">
        <f>IF(ISERROR(C13*F13/1000),"kein Wert",C13*F13/1000)</f>
        <v>2070.7698</v>
      </c>
    </row>
    <row r="14" spans="1:10">
      <c r="B14" s="29" t="s">
        <v>78</v>
      </c>
      <c r="C14" s="30" t="s">
        <v>59</v>
      </c>
      <c r="D14" s="29"/>
      <c r="E14" s="29"/>
      <c r="F14" s="29"/>
      <c r="G14" s="29"/>
      <c r="H14" s="29"/>
      <c r="I14" s="31"/>
      <c r="J14" s="32" t="str">
        <f>IF(ISERROR(C14*F14/1000),"kein Wert",C14*F14/1000)</f>
        <v>kein Wert</v>
      </c>
    </row>
    <row r="15" spans="1:10">
      <c r="B15" s="29" t="s">
        <v>79</v>
      </c>
      <c r="C15" s="30">
        <v>0</v>
      </c>
      <c r="D15" s="29" t="s">
        <v>79</v>
      </c>
      <c r="E15" s="29" t="s">
        <v>80</v>
      </c>
      <c r="F15" s="29"/>
      <c r="G15" s="29"/>
      <c r="H15" s="29"/>
      <c r="I15" s="31"/>
      <c r="J15" s="32">
        <f>IF(ISERROR(C15*F15/1000),"kein Wert",C15*F15/1000)</f>
        <v>0</v>
      </c>
    </row>
    <row r="16" spans="1:10">
      <c r="B16" s="33" t="s">
        <v>81</v>
      </c>
      <c r="C16" s="34">
        <f>C12</f>
        <v>450</v>
      </c>
      <c r="D16" s="33" t="s">
        <v>71</v>
      </c>
      <c r="E16" s="33" t="s">
        <v>56</v>
      </c>
      <c r="F16" s="33">
        <f>273</f>
        <v>273</v>
      </c>
      <c r="G16" s="33" t="s">
        <v>82</v>
      </c>
      <c r="H16" s="33" t="s">
        <v>294</v>
      </c>
      <c r="I16" s="35" t="s">
        <v>83</v>
      </c>
      <c r="J16" s="36">
        <f>IF(ISERROR(C16*F16/1000),"kein Wert",C16*F16/1000)</f>
        <v>122.85</v>
      </c>
    </row>
    <row r="17" spans="2:10">
      <c r="B17" s="33" t="s">
        <v>84</v>
      </c>
      <c r="C17" s="34">
        <f>'Jahreswerte - Emden'!Q4+'Jahreswerte - Leer'!K$4+'Jahreswerte - Leer'!Q4+65</f>
        <v>26467</v>
      </c>
      <c r="D17" s="33" t="s">
        <v>21</v>
      </c>
      <c r="E17" s="33" t="s">
        <v>85</v>
      </c>
      <c r="F17" s="37">
        <f>Gesamtemissionen!C68/(Gesamtemissionen!C69+Gesamtemissionen!C70)*1000</f>
        <v>7016.4303570406273</v>
      </c>
      <c r="G17" s="33" t="s">
        <v>86</v>
      </c>
      <c r="H17" s="33" t="s">
        <v>296</v>
      </c>
      <c r="I17" s="35" t="s">
        <v>295</v>
      </c>
      <c r="J17" s="36">
        <f>IF(ISERROR(C17*F17/1000),"kein Wert",C17*F17/1000)</f>
        <v>185703.86225979429</v>
      </c>
    </row>
    <row r="18" spans="2:10">
      <c r="B18" s="33" t="s">
        <v>88</v>
      </c>
      <c r="C18" s="34">
        <f>25740+2860+660</f>
        <v>29260</v>
      </c>
      <c r="D18" s="33" t="s">
        <v>21</v>
      </c>
      <c r="E18" s="33" t="s">
        <v>89</v>
      </c>
      <c r="F18" s="33">
        <v>-793</v>
      </c>
      <c r="G18" s="33" t="s">
        <v>86</v>
      </c>
      <c r="H18" s="33" t="s">
        <v>297</v>
      </c>
      <c r="I18" s="35" t="s">
        <v>298</v>
      </c>
      <c r="J18" s="36">
        <f>IF(ISERROR(C18*F18/1000),"kein Wert",C18*F18/1000)</f>
        <v>-23203.18</v>
      </c>
    </row>
    <row r="19" spans="2:10">
      <c r="B19" s="33" t="s">
        <v>90</v>
      </c>
      <c r="C19" s="34">
        <v>1800</v>
      </c>
      <c r="D19" s="33" t="s">
        <v>21</v>
      </c>
      <c r="E19" s="33" t="s">
        <v>91</v>
      </c>
      <c r="F19" s="33">
        <v>1900</v>
      </c>
      <c r="G19" s="33" t="s">
        <v>86</v>
      </c>
      <c r="H19" s="33" t="s">
        <v>299</v>
      </c>
      <c r="I19" s="35" t="s">
        <v>300</v>
      </c>
      <c r="J19" s="36">
        <f>IF(ISERROR(C19*F19/1000),"kein Wert",C19*F19/1000)</f>
        <v>3420</v>
      </c>
    </row>
    <row r="20" spans="2:10">
      <c r="B20" s="33" t="s">
        <v>92</v>
      </c>
      <c r="C20" s="34">
        <v>756</v>
      </c>
      <c r="D20" s="33" t="s">
        <v>21</v>
      </c>
      <c r="E20" s="33" t="s">
        <v>91</v>
      </c>
      <c r="F20" s="33">
        <v>-945</v>
      </c>
      <c r="G20" s="33" t="s">
        <v>86</v>
      </c>
      <c r="H20" s="33" t="s">
        <v>301</v>
      </c>
      <c r="I20" s="35" t="s">
        <v>298</v>
      </c>
      <c r="J20" s="36">
        <f>IF(ISERROR(C20*F20/1000),"kein Wert",C20*F20/1000)</f>
        <v>-714.42</v>
      </c>
    </row>
    <row r="21" spans="2:10">
      <c r="B21" s="38" t="s">
        <v>93</v>
      </c>
      <c r="C21" s="39" t="s">
        <v>59</v>
      </c>
      <c r="D21" s="38"/>
      <c r="E21" s="38"/>
      <c r="F21" s="38">
        <v>166</v>
      </c>
      <c r="G21" s="38" t="s">
        <v>94</v>
      </c>
      <c r="H21" s="38" t="s">
        <v>302</v>
      </c>
      <c r="I21" s="40" t="s">
        <v>95</v>
      </c>
      <c r="J21" s="41" t="str">
        <f>IF(ISERROR(C21*F21/1000),"kein Wert",C21*F21/1000)</f>
        <v>kein Wert</v>
      </c>
    </row>
    <row r="22" spans="2:10">
      <c r="B22" s="38" t="s">
        <v>96</v>
      </c>
      <c r="C22" s="46" t="s">
        <v>59</v>
      </c>
      <c r="D22" s="38"/>
      <c r="E22" s="38"/>
      <c r="F22" s="38">
        <v>31</v>
      </c>
      <c r="G22" s="38" t="s">
        <v>94</v>
      </c>
      <c r="H22" s="38" t="s">
        <v>302</v>
      </c>
      <c r="I22" s="40" t="s">
        <v>95</v>
      </c>
      <c r="J22" s="41" t="str">
        <f>IF(ISERROR(C22*F22/1000),"kein Wert",C22*F22/1000)</f>
        <v>kein Wert</v>
      </c>
    </row>
    <row r="23" spans="2:10">
      <c r="B23" s="38" t="s">
        <v>97</v>
      </c>
      <c r="C23" s="46" t="s">
        <v>59</v>
      </c>
      <c r="D23" s="38"/>
      <c r="E23" s="38"/>
      <c r="F23" s="42">
        <v>238</v>
      </c>
      <c r="G23" s="38" t="s">
        <v>94</v>
      </c>
      <c r="H23" s="38" t="s">
        <v>302</v>
      </c>
      <c r="I23" s="40" t="s">
        <v>95</v>
      </c>
      <c r="J23" s="41" t="str">
        <f>IF(ISERROR(C23*F23/1000),"kein Wert",C23*F23/1000)</f>
        <v>kein Wert</v>
      </c>
    </row>
    <row r="24" spans="2:10">
      <c r="B24" s="38" t="s">
        <v>98</v>
      </c>
      <c r="C24" s="39" t="e">
        <f>Mobilität!K113</f>
        <v>#VALUE!</v>
      </c>
      <c r="D24" s="38"/>
      <c r="E24" s="40" t="s">
        <v>100</v>
      </c>
      <c r="F24" s="38">
        <v>31</v>
      </c>
      <c r="G24" s="38" t="s">
        <v>94</v>
      </c>
      <c r="H24" s="38" t="s">
        <v>302</v>
      </c>
      <c r="I24" s="40" t="s">
        <v>95</v>
      </c>
      <c r="J24" s="41" t="str">
        <f>IF(ISERROR(C24*F24/1000),"kein Wert",C24*F24/1000)</f>
        <v>kein Wert</v>
      </c>
    </row>
    <row r="25" spans="2:10">
      <c r="B25" s="38" t="s">
        <v>101</v>
      </c>
      <c r="C25" s="39" t="e">
        <f>Mobilität!L113</f>
        <v>#VALUE!</v>
      </c>
      <c r="D25" s="38"/>
      <c r="E25" s="38" t="s">
        <v>102</v>
      </c>
      <c r="F25" s="42">
        <v>238</v>
      </c>
      <c r="G25" s="38" t="s">
        <v>94</v>
      </c>
      <c r="H25" s="38" t="s">
        <v>302</v>
      </c>
      <c r="I25" s="40" t="s">
        <v>95</v>
      </c>
      <c r="J25" s="41" t="str">
        <f>IF(ISERROR(C25*F25/1000),"kein Wert",C25*F25/1000)</f>
        <v>kein Wert</v>
      </c>
    </row>
    <row r="26" spans="2:10">
      <c r="B26" s="38" t="s">
        <v>103</v>
      </c>
      <c r="C26" s="39">
        <f>(Mobilität!I8+Mobilität!N8)*5/6</f>
        <v>14298946.334865123</v>
      </c>
      <c r="D26" s="38" t="s">
        <v>99</v>
      </c>
      <c r="E26" s="38" t="s">
        <v>104</v>
      </c>
      <c r="F26" s="38">
        <v>166</v>
      </c>
      <c r="G26" s="38" t="s">
        <v>94</v>
      </c>
      <c r="H26" s="38" t="s">
        <v>302</v>
      </c>
      <c r="I26" s="40" t="s">
        <v>95</v>
      </c>
      <c r="J26" s="41">
        <f>IF(ISERROR(C26*F26/1000),"kein Wert",C26*F26/1000)</f>
        <v>2373625.0915876101</v>
      </c>
    </row>
    <row r="27" spans="2:10">
      <c r="B27" s="38" t="s">
        <v>105</v>
      </c>
      <c r="C27" s="39">
        <f>(Mobilität!I8+Mobilität!N8)*1/6</f>
        <v>2859789.2669730247</v>
      </c>
      <c r="D27" s="38" t="s">
        <v>99</v>
      </c>
      <c r="E27" s="43" t="s">
        <v>106</v>
      </c>
      <c r="F27" s="38">
        <v>58</v>
      </c>
      <c r="G27" s="38" t="s">
        <v>94</v>
      </c>
      <c r="H27" s="38" t="s">
        <v>302</v>
      </c>
      <c r="I27" s="40" t="s">
        <v>95</v>
      </c>
      <c r="J27" s="41">
        <f>IF(ISERROR(C27*F27/1000),"kein Wert",C27*F27/1000)</f>
        <v>165867.77748443544</v>
      </c>
    </row>
  </sheetData>
  <hyperlinks>
    <hyperlink ref="E27" r:id="rId1" xr:uid="{BFE03E98-FAB4-4B4C-B100-FC974F0CD089}"/>
    <hyperlink ref="E24" r:id="rId2" xr:uid="{2CBC9B5A-9DF3-4486-AA7F-86A403745726}"/>
    <hyperlink ref="I4" r:id="rId3" xr:uid="{182D8AFD-E36E-4A42-ADAA-947F9CB6890C}"/>
    <hyperlink ref="I5" r:id="rId4" xr:uid="{614BC6E2-86C6-40B2-8D0F-F973EE02DA6F}"/>
    <hyperlink ref="I10" r:id="rId5" xr:uid="{D098B2D6-BB54-4E6C-BB0C-A9ED7486EBA6}"/>
    <hyperlink ref="I11" r:id="rId6" xr:uid="{134DA998-9793-4E29-8E53-EF686F7781AE}"/>
    <hyperlink ref="I6" r:id="rId7" xr:uid="{1D5ACF04-A3B7-4060-B652-68D487FE71C8}"/>
    <hyperlink ref="I9" r:id="rId8" display="https://www.umweltbundesamt.de/publikationen/entwicklung-der-spezifischen-treibhausgas-9 " xr:uid="{26F2FB49-CE6E-4BE3-8162-7CB4BF4B78CE}"/>
    <hyperlink ref="I17" r:id="rId9" xr:uid="{D64A81FA-112B-414D-9CDE-BB204C2CCC97}"/>
    <hyperlink ref="I16" r:id="rId10" xr:uid="{2CB92F6F-88B7-4A1A-AE19-AD9826322894}"/>
    <hyperlink ref="I19" r:id="rId11" xr:uid="{02AF89BC-6254-4BE5-980E-3DF7527BC794}"/>
    <hyperlink ref="I8" r:id="rId12" xr:uid="{70B91809-6C13-4F7D-94E7-6349C613C638}"/>
    <hyperlink ref="I7" r:id="rId13" xr:uid="{CAE89D5A-F79F-4FD0-90D0-E13AE55D8B1E}"/>
    <hyperlink ref="I12" r:id="rId14" location="/details/218bbfcd-d3aa-4449-ae1e-25887291a21a" xr:uid="{40242990-DA0E-460A-9C0F-6A92EDF386DF}"/>
    <hyperlink ref="I13" r:id="rId15" xr:uid="{9A3BC9EF-1C06-40D9-B57C-0C7AFBA49BDB}"/>
    <hyperlink ref="I21" r:id="rId16" location="verkehrsmittelvergleich" xr:uid="{ED82D5BD-2E39-4FB8-ABFA-453316178F3B}"/>
  </hyperlink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1C61B-50CF-4C62-B48A-76554F5FCEED}">
  <dimension ref="A1:J27"/>
  <sheetViews>
    <sheetView workbookViewId="0">
      <selection activeCell="H59" sqref="H59"/>
    </sheetView>
  </sheetViews>
  <sheetFormatPr baseColWidth="10" defaultRowHeight="15"/>
  <sheetData>
    <row r="1" spans="1:10">
      <c r="A1" s="65">
        <v>2020</v>
      </c>
    </row>
    <row r="2" spans="1:10">
      <c r="A2" t="s">
        <v>49</v>
      </c>
      <c r="B2" t="s">
        <v>50</v>
      </c>
      <c r="C2" t="s">
        <v>51</v>
      </c>
      <c r="D2" t="s">
        <v>19</v>
      </c>
      <c r="E2" t="s">
        <v>52</v>
      </c>
      <c r="F2" t="s">
        <v>53</v>
      </c>
      <c r="G2" t="s">
        <v>19</v>
      </c>
      <c r="H2" t="s">
        <v>52</v>
      </c>
      <c r="I2" t="s">
        <v>278</v>
      </c>
      <c r="J2" t="s">
        <v>54</v>
      </c>
    </row>
    <row r="3" spans="1:10">
      <c r="A3">
        <v>1</v>
      </c>
      <c r="B3" s="21" t="s">
        <v>55</v>
      </c>
      <c r="C3" s="22">
        <f>'Jahreswerte - Emden'!N3+'Jahreswerte - Leer'!D4+'Jahreswerte - Leer'!E4</f>
        <v>5932078</v>
      </c>
      <c r="D3" s="21" t="s">
        <v>263</v>
      </c>
      <c r="E3" s="21" t="s">
        <v>56</v>
      </c>
      <c r="F3" s="71">
        <f>3.2508*0.0558*1000</f>
        <v>181.39464000000001</v>
      </c>
      <c r="G3" s="21" t="s">
        <v>57</v>
      </c>
      <c r="H3" s="21" t="s">
        <v>280</v>
      </c>
      <c r="I3" s="23" t="s">
        <v>279</v>
      </c>
      <c r="J3" s="24">
        <f>IF(ISERROR(C3*F3/1000),"kein Wert",C3*F3/1000)</f>
        <v>1076047.15326192</v>
      </c>
    </row>
    <row r="4" spans="1:10">
      <c r="B4" s="21" t="s">
        <v>58</v>
      </c>
      <c r="C4" s="22" t="s">
        <v>59</v>
      </c>
      <c r="D4" s="21"/>
      <c r="E4" s="21"/>
      <c r="F4" s="21">
        <v>2696.47</v>
      </c>
      <c r="G4" s="21" t="s">
        <v>60</v>
      </c>
      <c r="H4" s="21" t="s">
        <v>281</v>
      </c>
      <c r="I4" s="23" t="s">
        <v>283</v>
      </c>
      <c r="J4" s="24" t="str">
        <f>IF(ISERROR(C4*F4/1000),"kein Wert",C4*F4/1000)</f>
        <v>kein Wert</v>
      </c>
    </row>
    <row r="5" spans="1:10">
      <c r="B5" s="21" t="s">
        <v>62</v>
      </c>
      <c r="C5" s="22" t="s">
        <v>59</v>
      </c>
      <c r="D5" s="21"/>
      <c r="E5" s="21"/>
      <c r="F5" s="21">
        <v>2445.59</v>
      </c>
      <c r="G5" s="21" t="s">
        <v>60</v>
      </c>
      <c r="H5" s="21" t="s">
        <v>282</v>
      </c>
      <c r="I5" s="23" t="s">
        <v>283</v>
      </c>
      <c r="J5" s="24" t="str">
        <f>IF(ISERROR(C5*F5/1000),"kein Wert",C5*F5/1000)</f>
        <v>kein Wert</v>
      </c>
    </row>
    <row r="6" spans="1:10">
      <c r="A6">
        <v>2</v>
      </c>
      <c r="B6" s="21" t="s">
        <v>267</v>
      </c>
      <c r="C6" s="22">
        <f>'Jahreswerte - Emden'!F3+'Jahreswerte - Leer'!B4+'Jahreswerte - Leer'!C4+'Jahreswerte - Leer'!M4</f>
        <v>747791</v>
      </c>
      <c r="D6" s="21" t="s">
        <v>20</v>
      </c>
      <c r="E6" s="21" t="s">
        <v>56</v>
      </c>
      <c r="F6" s="21">
        <v>369</v>
      </c>
      <c r="G6" s="21" t="s">
        <v>57</v>
      </c>
      <c r="H6" s="21" t="s">
        <v>285</v>
      </c>
      <c r="I6" s="23" t="s">
        <v>284</v>
      </c>
      <c r="J6" s="24">
        <f>IF(ISERROR(C6*F6/1000),"kein Wert",C6*F6/1000)</f>
        <v>275934.87900000002</v>
      </c>
    </row>
    <row r="7" spans="1:10">
      <c r="A7">
        <v>2</v>
      </c>
      <c r="B7" s="21" t="s">
        <v>266</v>
      </c>
      <c r="C7" s="22">
        <f>C6</f>
        <v>747791</v>
      </c>
      <c r="D7" s="21" t="s">
        <v>20</v>
      </c>
      <c r="E7" s="21" t="s">
        <v>56</v>
      </c>
      <c r="F7" s="21">
        <v>0</v>
      </c>
      <c r="G7" s="21" t="s">
        <v>57</v>
      </c>
      <c r="H7" s="21" t="s">
        <v>287</v>
      </c>
      <c r="I7" s="23" t="s">
        <v>286</v>
      </c>
      <c r="J7" s="24">
        <f>IF(ISERROR(C7*F7/1000),"kein Wert",C7*F7/1000)</f>
        <v>0</v>
      </c>
    </row>
    <row r="8" spans="1:10">
      <c r="A8">
        <v>3</v>
      </c>
      <c r="B8" s="25" t="s">
        <v>65</v>
      </c>
      <c r="C8" s="26">
        <f>C3</f>
        <v>5932078</v>
      </c>
      <c r="D8" s="25" t="s">
        <v>263</v>
      </c>
      <c r="E8" s="25" t="s">
        <v>56</v>
      </c>
      <c r="F8" s="72">
        <f>25.44*0.9024</f>
        <v>22.957056000000001</v>
      </c>
      <c r="G8" s="25" t="s">
        <v>57</v>
      </c>
      <c r="H8" s="25" t="s">
        <v>290</v>
      </c>
      <c r="I8" s="27" t="s">
        <v>288</v>
      </c>
      <c r="J8" s="28">
        <f>IF(ISERROR(C8*F8/1000),"kein Wert",C8*F8/1000)</f>
        <v>136183.046842368</v>
      </c>
    </row>
    <row r="9" spans="1:10">
      <c r="B9" s="25" t="s">
        <v>67</v>
      </c>
      <c r="C9" s="26">
        <f>C6</f>
        <v>747791</v>
      </c>
      <c r="D9" s="25" t="s">
        <v>20</v>
      </c>
      <c r="E9" s="25" t="s">
        <v>56</v>
      </c>
      <c r="F9" s="25">
        <f>432-F6</f>
        <v>63</v>
      </c>
      <c r="G9" s="25" t="s">
        <v>57</v>
      </c>
      <c r="H9" s="25" t="s">
        <v>289</v>
      </c>
      <c r="I9" s="27" t="s">
        <v>277</v>
      </c>
      <c r="J9" s="28">
        <f>IF(ISERROR(C9*F9/1000),"kein Wert",C9*F9/1000)</f>
        <v>47110.832999999999</v>
      </c>
    </row>
    <row r="10" spans="1:10">
      <c r="B10" s="25" t="s">
        <v>68</v>
      </c>
      <c r="C10" s="26" t="s">
        <v>59</v>
      </c>
      <c r="D10" s="25"/>
      <c r="E10" s="25"/>
      <c r="F10" s="25">
        <v>713.43</v>
      </c>
      <c r="G10" s="25" t="s">
        <v>60</v>
      </c>
      <c r="H10" s="25" t="s">
        <v>281</v>
      </c>
      <c r="I10" s="27" t="s">
        <v>61</v>
      </c>
      <c r="J10" s="28" t="str">
        <f>IF(ISERROR(C10*F10/1000),"kein Wert",C10*F10/1000)</f>
        <v>kein Wert</v>
      </c>
    </row>
    <row r="11" spans="1:10">
      <c r="B11" s="25" t="s">
        <v>69</v>
      </c>
      <c r="C11" s="26" t="s">
        <v>59</v>
      </c>
      <c r="D11" s="25"/>
      <c r="E11" s="25"/>
      <c r="F11" s="25">
        <v>584</v>
      </c>
      <c r="G11" s="25" t="s">
        <v>60</v>
      </c>
      <c r="H11" s="25" t="s">
        <v>282</v>
      </c>
      <c r="I11" s="27" t="s">
        <v>63</v>
      </c>
      <c r="J11" s="28" t="str">
        <f>IF(ISERROR(C11*F11/1000),"kein Wert",C11*F11/1000)</f>
        <v>kein Wert</v>
      </c>
    </row>
    <row r="12" spans="1:10">
      <c r="B12" s="29" t="s">
        <v>70</v>
      </c>
      <c r="C12" s="30">
        <f>'Jahreswerte - Emden'!P3+'Jahreswerte - Leer'!F4+'Jahreswerte - Leer'!G4+'Jahreswerte - Leer'!N4</f>
        <v>5118</v>
      </c>
      <c r="D12" s="29" t="s">
        <v>71</v>
      </c>
      <c r="E12" s="29" t="s">
        <v>56</v>
      </c>
      <c r="F12" s="29">
        <v>242</v>
      </c>
      <c r="G12" s="29" t="s">
        <v>72</v>
      </c>
      <c r="H12" s="29" t="s">
        <v>291</v>
      </c>
      <c r="I12" s="31" t="s">
        <v>73</v>
      </c>
      <c r="J12" s="32">
        <f>IF(ISERROR(C12*F12/1000),"kein Wert",C12*F12/1000)</f>
        <v>1238.556</v>
      </c>
    </row>
    <row r="13" spans="1:10">
      <c r="B13" s="29" t="s">
        <v>74</v>
      </c>
      <c r="C13" s="30">
        <f>650496</f>
        <v>650496</v>
      </c>
      <c r="D13" s="29" t="s">
        <v>75</v>
      </c>
      <c r="E13" s="29" t="s">
        <v>76</v>
      </c>
      <c r="F13" s="29">
        <v>4.84</v>
      </c>
      <c r="G13" s="29" t="s">
        <v>77</v>
      </c>
      <c r="H13" s="29" t="s">
        <v>292</v>
      </c>
      <c r="I13" s="31" t="s">
        <v>293</v>
      </c>
      <c r="J13" s="32">
        <f>IF(ISERROR(C13*F13/1000),"kein Wert",C13*F13/1000)</f>
        <v>3148.4006400000003</v>
      </c>
    </row>
    <row r="14" spans="1:10">
      <c r="B14" s="29" t="s">
        <v>78</v>
      </c>
      <c r="C14" s="30" t="s">
        <v>59</v>
      </c>
      <c r="D14" s="29"/>
      <c r="E14" s="29"/>
      <c r="F14" s="29"/>
      <c r="G14" s="29"/>
      <c r="H14" s="29"/>
      <c r="I14" s="31"/>
      <c r="J14" s="32"/>
    </row>
    <row r="15" spans="1:10">
      <c r="B15" s="29" t="s">
        <v>79</v>
      </c>
      <c r="C15" s="30">
        <v>0</v>
      </c>
      <c r="D15" s="29" t="s">
        <v>79</v>
      </c>
      <c r="E15" s="29" t="s">
        <v>80</v>
      </c>
      <c r="F15" s="29"/>
      <c r="G15" s="29"/>
      <c r="H15" s="29"/>
      <c r="I15" s="31"/>
      <c r="J15" s="32">
        <f>IF(ISERROR(C15*F15/1000),"kein Wert",C15*F15/1000)</f>
        <v>0</v>
      </c>
    </row>
    <row r="16" spans="1:10">
      <c r="B16" s="33" t="s">
        <v>81</v>
      </c>
      <c r="C16" s="34">
        <f>C12</f>
        <v>5118</v>
      </c>
      <c r="D16" s="33" t="s">
        <v>71</v>
      </c>
      <c r="E16" s="33" t="s">
        <v>56</v>
      </c>
      <c r="F16" s="33">
        <f>273</f>
        <v>273</v>
      </c>
      <c r="G16" s="33" t="s">
        <v>82</v>
      </c>
      <c r="H16" s="33" t="s">
        <v>294</v>
      </c>
      <c r="I16" s="35" t="s">
        <v>83</v>
      </c>
      <c r="J16" s="36">
        <f>IF(ISERROR(C16*F16/1000),"kein Wert",C16*F16/1000)</f>
        <v>1397.2139999999999</v>
      </c>
    </row>
    <row r="17" spans="2:10">
      <c r="B17" s="33" t="s">
        <v>84</v>
      </c>
      <c r="C17" s="34">
        <f>'Jahreswerte - Emden'!Q3+'Jahreswerte - Leer'!K$4+'Jahreswerte - Leer'!Q4+65</f>
        <v>26972</v>
      </c>
      <c r="D17" s="33" t="s">
        <v>21</v>
      </c>
      <c r="E17" s="33" t="s">
        <v>85</v>
      </c>
      <c r="F17" s="37">
        <f>Gesamtemissionen!B68/(Gesamtemissionen!B69+Gesamtemissionen!B70)*1000</f>
        <v>6866.7046317388003</v>
      </c>
      <c r="G17" s="33" t="s">
        <v>86</v>
      </c>
      <c r="H17" s="33" t="s">
        <v>296</v>
      </c>
      <c r="I17" s="35" t="s">
        <v>295</v>
      </c>
      <c r="J17" s="36">
        <f>IF(ISERROR(C17*F17/1000),"kein Wert",C17*F17/1000)</f>
        <v>185208.75732725891</v>
      </c>
    </row>
    <row r="18" spans="2:10">
      <c r="B18" s="33" t="s">
        <v>88</v>
      </c>
      <c r="C18" s="34">
        <f>25740+2860+660</f>
        <v>29260</v>
      </c>
      <c r="D18" s="33" t="s">
        <v>21</v>
      </c>
      <c r="E18" s="33" t="s">
        <v>89</v>
      </c>
      <c r="F18" s="33">
        <v>-793</v>
      </c>
      <c r="G18" s="33" t="s">
        <v>86</v>
      </c>
      <c r="H18" s="33" t="s">
        <v>297</v>
      </c>
      <c r="I18" s="35" t="s">
        <v>298</v>
      </c>
      <c r="J18" s="36">
        <f>IF(ISERROR(C18*F18/1000),"kein Wert",C18*F18/1000)</f>
        <v>-23203.18</v>
      </c>
    </row>
    <row r="19" spans="2:10">
      <c r="B19" s="33" t="s">
        <v>90</v>
      </c>
      <c r="C19" s="34">
        <v>1800</v>
      </c>
      <c r="D19" s="33" t="s">
        <v>21</v>
      </c>
      <c r="E19" s="33" t="s">
        <v>91</v>
      </c>
      <c r="F19" s="33">
        <v>1900</v>
      </c>
      <c r="G19" s="33" t="s">
        <v>86</v>
      </c>
      <c r="H19" s="33" t="s">
        <v>299</v>
      </c>
      <c r="I19" s="35" t="s">
        <v>300</v>
      </c>
      <c r="J19" s="36">
        <f>IF(ISERROR(C19*F19/1000),"kein Wert",C19*F19/1000)</f>
        <v>3420</v>
      </c>
    </row>
    <row r="20" spans="2:10">
      <c r="B20" s="33" t="s">
        <v>92</v>
      </c>
      <c r="C20" s="34">
        <v>756</v>
      </c>
      <c r="D20" s="33" t="s">
        <v>21</v>
      </c>
      <c r="E20" s="33" t="s">
        <v>91</v>
      </c>
      <c r="F20" s="33">
        <v>-945</v>
      </c>
      <c r="G20" s="33" t="s">
        <v>86</v>
      </c>
      <c r="H20" s="33" t="s">
        <v>301</v>
      </c>
      <c r="I20" s="35" t="s">
        <v>298</v>
      </c>
      <c r="J20" s="36">
        <f>IF(ISERROR(C20*F20/1000),"kein Wert",C20*F20/1000)</f>
        <v>-714.42</v>
      </c>
    </row>
    <row r="21" spans="2:10">
      <c r="B21" s="38" t="s">
        <v>93</v>
      </c>
      <c r="C21" s="39" t="s">
        <v>59</v>
      </c>
      <c r="D21" s="38"/>
      <c r="E21" s="38"/>
      <c r="F21" s="38">
        <v>166</v>
      </c>
      <c r="G21" s="38" t="s">
        <v>94</v>
      </c>
      <c r="H21" s="38" t="s">
        <v>302</v>
      </c>
      <c r="I21" s="40" t="s">
        <v>95</v>
      </c>
      <c r="J21" s="41" t="str">
        <f>IF(ISERROR(C21*F21/1000),"kein Wert",C21*F21/1000)</f>
        <v>kein Wert</v>
      </c>
    </row>
    <row r="22" spans="2:10">
      <c r="B22" s="38" t="s">
        <v>96</v>
      </c>
      <c r="C22" s="39" t="s">
        <v>59</v>
      </c>
      <c r="D22" s="38"/>
      <c r="E22" s="38"/>
      <c r="F22" s="38">
        <v>31</v>
      </c>
      <c r="G22" s="38" t="s">
        <v>94</v>
      </c>
      <c r="H22" s="38" t="s">
        <v>302</v>
      </c>
      <c r="I22" s="40" t="s">
        <v>95</v>
      </c>
      <c r="J22" s="41" t="str">
        <f>IF(ISERROR(C22*F22/1000),"kein Wert",C22*F22/1000)</f>
        <v>kein Wert</v>
      </c>
    </row>
    <row r="23" spans="2:10">
      <c r="B23" s="38" t="s">
        <v>97</v>
      </c>
      <c r="C23" s="39" t="s">
        <v>59</v>
      </c>
      <c r="D23" s="38"/>
      <c r="E23" s="38"/>
      <c r="F23" s="42">
        <v>238</v>
      </c>
      <c r="G23" s="38" t="s">
        <v>94</v>
      </c>
      <c r="H23" s="38" t="s">
        <v>302</v>
      </c>
      <c r="I23" s="40" t="s">
        <v>95</v>
      </c>
      <c r="J23" s="41" t="str">
        <f>IF(ISERROR(C23*F23/1000),"kein Wert",C23*F23/1000)</f>
        <v>kein Wert</v>
      </c>
    </row>
    <row r="24" spans="2:10">
      <c r="B24" s="38" t="s">
        <v>98</v>
      </c>
      <c r="C24" s="39">
        <f>Mobilität!E113</f>
        <v>126230</v>
      </c>
      <c r="D24" s="38" t="s">
        <v>99</v>
      </c>
      <c r="E24" s="40" t="s">
        <v>100</v>
      </c>
      <c r="F24" s="38">
        <v>31</v>
      </c>
      <c r="G24" s="38" t="s">
        <v>94</v>
      </c>
      <c r="H24" s="38" t="s">
        <v>302</v>
      </c>
      <c r="I24" s="40" t="s">
        <v>95</v>
      </c>
      <c r="J24" s="41">
        <f>IF(ISERROR(C24*F24/1000),"kein Wert",C24*F24/1000)</f>
        <v>3913.13</v>
      </c>
    </row>
    <row r="25" spans="2:10">
      <c r="B25" s="38" t="s">
        <v>101</v>
      </c>
      <c r="C25" s="39">
        <f>Mobilität!F113</f>
        <v>903494</v>
      </c>
      <c r="D25" s="38" t="s">
        <v>99</v>
      </c>
      <c r="E25" s="38" t="s">
        <v>102</v>
      </c>
      <c r="F25" s="42">
        <v>238</v>
      </c>
      <c r="G25" s="38" t="s">
        <v>94</v>
      </c>
      <c r="H25" s="38" t="s">
        <v>302</v>
      </c>
      <c r="I25" s="40" t="s">
        <v>95</v>
      </c>
      <c r="J25" s="41">
        <f>IF(ISERROR(C25*F25/1000),"kein Wert",C25*F25/1000)</f>
        <v>215031.57199999999</v>
      </c>
    </row>
    <row r="26" spans="2:10">
      <c r="B26" s="38" t="s">
        <v>103</v>
      </c>
      <c r="C26" s="39">
        <f>(Mobilität!H$8+Mobilität!M$8)*5/6</f>
        <v>3665166.1087361071</v>
      </c>
      <c r="D26" s="38" t="s">
        <v>99</v>
      </c>
      <c r="E26" s="38" t="s">
        <v>104</v>
      </c>
      <c r="F26" s="38">
        <v>166</v>
      </c>
      <c r="G26" s="38" t="s">
        <v>94</v>
      </c>
      <c r="H26" s="38" t="s">
        <v>302</v>
      </c>
      <c r="I26" s="40" t="s">
        <v>95</v>
      </c>
      <c r="J26" s="41">
        <f>IF(ISERROR(C26*F26/1000),"kein Wert",C26*F26/1000)</f>
        <v>608417.57405019377</v>
      </c>
    </row>
    <row r="27" spans="2:10">
      <c r="B27" s="38" t="s">
        <v>105</v>
      </c>
      <c r="C27" s="39">
        <f>(Mobilität!H$8+Mobilität!M$8)*1/6</f>
        <v>733033.22174722143</v>
      </c>
      <c r="D27" s="38" t="s">
        <v>99</v>
      </c>
      <c r="E27" s="43" t="s">
        <v>261</v>
      </c>
      <c r="F27" s="38">
        <v>58</v>
      </c>
      <c r="G27" s="38" t="s">
        <v>94</v>
      </c>
      <c r="H27" s="38" t="s">
        <v>302</v>
      </c>
      <c r="I27" s="40" t="s">
        <v>95</v>
      </c>
      <c r="J27" s="41">
        <f>IF(ISERROR(C27*F27/1000),"kein Wert",C27*F27/1000)</f>
        <v>42515.926861338841</v>
      </c>
    </row>
  </sheetData>
  <hyperlinks>
    <hyperlink ref="E27" r:id="rId1" xr:uid="{99E0DA3B-0F3E-4FFA-95E7-A86225192850}"/>
    <hyperlink ref="E24" r:id="rId2" xr:uid="{3D5F77A7-1D91-432E-A215-6BBC1244CC2A}"/>
    <hyperlink ref="I4" r:id="rId3" xr:uid="{902D3224-6E0B-4CA9-9FD1-6884E6FB58FC}"/>
    <hyperlink ref="I5" r:id="rId4" xr:uid="{BDD28BA5-192D-4342-97AB-DAB7303A2D03}"/>
    <hyperlink ref="I10" r:id="rId5" xr:uid="{4C94B117-F578-4C9B-83E2-CFE067857B6C}"/>
    <hyperlink ref="I11" r:id="rId6" xr:uid="{32658A3B-3667-4CF6-B8ED-E52BBEF2198A}"/>
    <hyperlink ref="I6" r:id="rId7" xr:uid="{1A86DEEC-0C8A-45D6-AA64-011B489808F7}"/>
    <hyperlink ref="I9" r:id="rId8" display="https://www.umweltbundesamt.de/publikationen/entwicklung-der-spezifischen-treibhausgas-9 " xr:uid="{75FD90C8-EC68-45AA-83D3-D3FB6745F89D}"/>
    <hyperlink ref="I17" r:id="rId9" xr:uid="{BA56DB4B-1116-4136-9770-199DBC0E4A6D}"/>
    <hyperlink ref="I16" r:id="rId10" xr:uid="{1611CC42-C528-48C1-93EB-ADA921F35D40}"/>
    <hyperlink ref="I19" r:id="rId11" xr:uid="{173B9317-8EE3-42D5-BDB6-EC0054346F7D}"/>
    <hyperlink ref="I8" r:id="rId12" xr:uid="{E9C433C3-61D5-4242-A45F-37378435A106}"/>
    <hyperlink ref="I7" r:id="rId13" xr:uid="{3858195E-B594-4B50-9D45-85892C10AA7D}"/>
    <hyperlink ref="I12" r:id="rId14" location="/details/218bbfcd-d3aa-4449-ae1e-25887291a21a" xr:uid="{EFDF010E-9169-4BF7-84D0-B6340EFB6C3D}"/>
    <hyperlink ref="I13" r:id="rId15" xr:uid="{64B0D1B2-B810-452D-AD4D-7C45FE5BAA55}"/>
    <hyperlink ref="I21" r:id="rId16" location="verkehrsmittelvergleich" xr:uid="{38DE9F0B-D485-4F57-AFE6-5A67C74959D3}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Jahreswerte - Emden</vt:lpstr>
      <vt:lpstr>Jahreswerte - Leer</vt:lpstr>
      <vt:lpstr>Mobilität</vt:lpstr>
      <vt:lpstr>Gesamtemissionen</vt:lpstr>
      <vt:lpstr>Ziel Klimaneutral 2035</vt:lpstr>
      <vt:lpstr>THG-Bilanz 2024 - vorläufig</vt:lpstr>
      <vt:lpstr>THG-Bilanz 2023</vt:lpstr>
      <vt:lpstr>THG-Bilanz 2022</vt:lpstr>
      <vt:lpstr>THG- Bilanz 2021</vt:lpstr>
      <vt:lpstr>THG-Bilanz 2020</vt:lpstr>
    </vt:vector>
  </TitlesOfParts>
  <Company>Hochschule Emden Leer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Hauke Hoops</dc:creator>
  <cp:lastModifiedBy>Hauke Hoops</cp:lastModifiedBy>
  <dcterms:created xsi:type="dcterms:W3CDTF">2024-04-10T09:33:39Z</dcterms:created>
  <dcterms:modified xsi:type="dcterms:W3CDTF">2025-01-20T12:27:24Z</dcterms:modified>
</cp:coreProperties>
</file>